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8)Earned Incurred YTD6" sheetId="6" state="hidden" r:id="rId6"/>
    <sheet name="(7)Premiums YTD8" sheetId="7" state="hidden"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6">'(7)Premiums YTD8'!$A$1:$H$39</definedName>
    <definedName name="_xlnm.Print_Area" localSheetId="5">'(8)Earned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<sst xmlns="http://schemas.openxmlformats.org/spreadsheetml/2006/main" count="1114" uniqueCount="503">
  <si>
    <t>PRIOR UNEARNED PREMIUM RESERVE                     @ 12-31-08</t>
  </si>
  <si>
    <t>PRIOR LOSS RESERVES (12-31-08)</t>
  </si>
  <si>
    <t>PRIOR LOSS  EXPENSE RESERVES                     @ 12-31-08</t>
  </si>
  <si>
    <t>POLICY YEAR 2009</t>
  </si>
  <si>
    <t>POLICY YEAR 2005 &amp; PRIOR</t>
  </si>
  <si>
    <r>
      <t xml:space="preserve">                                           </t>
    </r>
    <r>
      <rPr>
        <b/>
        <sz val="9"/>
        <rFont val="Century Schoolbook"/>
        <family val="1"/>
      </rPr>
      <t xml:space="preserve">         1Q08</t>
    </r>
    <r>
      <rPr>
        <sz val="9"/>
        <rFont val="Century Schoolbook"/>
        <family val="1"/>
      </rPr>
      <t xml:space="preserve">         $308,798</t>
    </r>
  </si>
  <si>
    <t>1Q09</t>
  </si>
  <si>
    <t>2Q09</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</si>
  <si>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</si>
  <si>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</si>
  <si>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</si>
  <si>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</si>
  <si>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</si>
  <si>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</si>
  <si>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</si>
  <si>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</si>
  <si>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</si>
  <si>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</si>
  <si>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</si>
  <si>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</si>
  <si>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</si>
  <si>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</si>
  <si>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</si>
  <si>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</si>
  <si>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</si>
  <si>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</si>
  <si>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</si>
  <si>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</si>
  <si>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</si>
  <si>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</si>
  <si>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</si>
  <si>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</si>
  <si>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</si>
  <si>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</si>
  <si>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</si>
  <si>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</si>
  <si>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</si>
  <si>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</si>
  <si>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 xml:space="preserve">Underwriting Gain </t>
  </si>
  <si>
    <t xml:space="preserve">Net Gain </t>
  </si>
  <si>
    <t>LOSS EXPENSES PAID                                      (ALAE AND ULAE)</t>
  </si>
  <si>
    <t>POLICY YEAR 2007</t>
  </si>
  <si>
    <t xml:space="preserve">     PREMIUMS RECEIVABLE</t>
  </si>
  <si>
    <t>*Note: The Terrorism Risk Insurance Program Reauthorization Act of 2007 requires insurers to report direct earned premium for commercial business written.  This amount is shown on page 8.</t>
  </si>
  <si>
    <t>POLICY YEAR 2008</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</si>
  <si>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</si>
  <si>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</si>
  <si>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</si>
  <si>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</si>
  <si>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</si>
  <si>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</si>
  <si>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</si>
  <si>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</si>
  <si>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</si>
  <si>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</si>
  <si>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</si>
  <si>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</si>
  <si>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</si>
  <si>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</si>
  <si>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</si>
  <si>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</si>
  <si>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</si>
  <si>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</si>
  <si>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</si>
  <si>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</si>
  <si>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</si>
  <si>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</si>
  <si>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</si>
  <si>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</si>
  <si>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</si>
  <si>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</si>
  <si>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</si>
  <si>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</si>
  <si>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</si>
  <si>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</si>
  <si>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</si>
  <si>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</si>
  <si>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</si>
  <si>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</si>
  <si>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</si>
  <si>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</si>
  <si>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</si>
  <si>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</si>
  <si>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</si>
  <si>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</si>
  <si>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</si>
  <si>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</si>
  <si>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</si>
  <si>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</si>
  <si>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</si>
  <si>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</si>
  <si>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</si>
  <si>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</si>
  <si>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</si>
  <si>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</si>
  <si>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</si>
  <si>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</si>
  <si>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</si>
  <si>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</si>
  <si>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</si>
  <si>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</si>
  <si>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</si>
  <si>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</si>
  <si>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</si>
  <si>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</si>
  <si>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</si>
  <si>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</si>
  <si>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</si>
  <si>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</si>
  <si>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</si>
  <si>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</si>
  <si>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</si>
  <si>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</si>
  <si>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</si>
  <si>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</si>
  <si>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</si>
  <si>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</si>
  <si>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</si>
  <si>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</si>
  <si>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</si>
  <si>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</si>
  <si>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</si>
  <si>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</si>
  <si>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</si>
  <si>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</si>
  <si>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</si>
  <si>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</si>
  <si>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</si>
  <si>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</si>
  <si>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</si>
  <si>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</si>
  <si>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</si>
  <si>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</si>
  <si>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</si>
  <si>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</si>
  <si>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</si>
  <si>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</si>
  <si>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</si>
  <si>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</si>
  <si>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</si>
  <si>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</si>
  <si>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</si>
  <si>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</si>
  <si>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</si>
  <si>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</si>
  <si>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</si>
  <si>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</si>
  <si>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</si>
  <si>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</si>
  <si>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</si>
  <si>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</si>
  <si>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</si>
  <si>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</si>
  <si>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</si>
  <si>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</si>
  <si>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</si>
  <si>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</si>
  <si>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</si>
  <si>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</si>
  <si>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</si>
  <si>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</si>
  <si>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</si>
  <si>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</si>
  <si>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</si>
  <si>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</si>
  <si>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</si>
  <si>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</si>
  <si>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</si>
  <si>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</si>
  <si>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</si>
  <si>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</si>
  <si>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</si>
  <si>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</si>
  <si>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</si>
  <si>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</si>
  <si>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</si>
  <si>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</si>
  <si>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</si>
  <si>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</si>
  <si>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</si>
  <si>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</si>
  <si>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</si>
  <si>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</si>
  <si>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</si>
  <si>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</si>
  <si>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</si>
  <si>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</si>
  <si>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</si>
  <si>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</si>
  <si>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</si>
  <si>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</si>
  <si>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</si>
  <si>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</si>
  <si>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</si>
  <si>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</si>
  <si>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</si>
  <si>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</si>
  <si>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</si>
  <si>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</si>
  <si>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</si>
  <si>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</si>
  <si>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</si>
  <si>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</si>
  <si>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</si>
  <si>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</si>
  <si>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</si>
  <si>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</si>
  <si>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</si>
  <si>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</si>
  <si>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</si>
  <si>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</si>
  <si>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</si>
  <si>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</si>
  <si>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</si>
  <si>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</si>
  <si>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</si>
  <si>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</si>
  <si>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</si>
  <si>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</si>
  <si>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</si>
  <si>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</si>
  <si>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</si>
  <si>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</si>
  <si>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</si>
  <si>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</si>
  <si>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</si>
  <si>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</si>
  <si>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</si>
  <si>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</si>
  <si>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</si>
  <si>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</si>
  <si>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</si>
  <si>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</si>
  <si>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</si>
  <si>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</si>
  <si>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</si>
  <si>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</si>
  <si>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</si>
  <si>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</si>
  <si>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</si>
  <si>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</si>
  <si>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</si>
  <si>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</si>
  <si>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</si>
  <si>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</si>
  <si>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</si>
  <si>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</si>
  <si>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</si>
  <si>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</si>
  <si>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</si>
  <si>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</si>
  <si>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</si>
  <si>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</si>
  <si>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</si>
  <si>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</si>
  <si>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</si>
  <si>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</si>
  <si>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</si>
  <si>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</si>
  <si>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</si>
  <si>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</si>
  <si>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</si>
  <si>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</si>
  <si>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</si>
  <si>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</si>
  <si>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</si>
  <si>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</si>
  <si>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</si>
  <si>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</si>
  <si>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</si>
  <si>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</si>
  <si>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</si>
  <si>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</si>
  <si>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</si>
  <si>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</si>
  <si>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</si>
  <si>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</si>
  <si>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</si>
  <si>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</si>
  <si>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</si>
  <si>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</si>
  <si>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</si>
  <si>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</si>
  <si>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</si>
  <si>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</si>
  <si>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</si>
  <si>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</si>
  <si>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</si>
  <si>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</si>
  <si>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</si>
  <si>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</si>
  <si>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</si>
  <si>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</si>
  <si>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</si>
  <si>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</si>
  <si>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</si>
  <si>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</si>
  <si>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</si>
  <si>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</si>
  <si>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</si>
  <si>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</si>
  <si>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</si>
  <si>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</si>
  <si>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</si>
  <si>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</si>
  <si>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</si>
  <si>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</si>
  <si>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</si>
  <si>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</si>
  <si>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</si>
  <si>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</si>
  <si>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</si>
  <si>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</si>
  <si>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</si>
  <si>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</si>
  <si>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</si>
  <si>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</si>
  <si>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</si>
  <si>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</si>
  <si>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</si>
  <si>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</si>
  <si>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</si>
  <si>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</si>
  <si>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</si>
  <si>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</si>
  <si>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</si>
  <si>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</si>
  <si>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</si>
  <si>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</si>
  <si>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</si>
  <si>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</si>
  <si>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</si>
  <si>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</si>
  <si>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</si>
  <si>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</si>
  <si>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</si>
  <si>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</si>
  <si>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</si>
  <si>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</si>
  <si>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</si>
  <si>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</si>
  <si>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</si>
  <si>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</si>
  <si>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</si>
  <si>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</si>
  <si>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</si>
  <si>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</si>
  <si>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</si>
  <si>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</si>
  <si>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</si>
  <si>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</si>
  <si>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</si>
  <si>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</si>
  <si>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</si>
  <si>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</si>
  <si>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</si>
  <si>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</si>
  <si>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</si>
  <si>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</si>
  <si>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</si>
  <si>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</si>
  <si>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</si>
  <si>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</si>
  <si>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</si>
  <si>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</si>
  <si>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</si>
  <si>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</si>
  <si>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</si>
  <si>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</si>
  <si>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</si>
  <si>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</si>
  <si>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</si>
  <si>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</si>
  <si>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</si>
  <si>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</si>
  <si>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</si>
  <si>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</si>
  <si>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</si>
  <si>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</si>
  <si>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</si>
  <si>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</si>
  <si>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</si>
  <si>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</si>
  <si>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</si>
  <si>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</si>
  <si>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</si>
  <si>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</si>
  <si>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</si>
  <si>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</si>
  <si>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</si>
  <si>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</si>
  <si>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</si>
  <si>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</si>
  <si>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</si>
  <si>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</si>
  <si>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</si>
  <si>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</si>
  <si>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</si>
  <si>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</si>
  <si>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</si>
  <si>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</si>
  <si>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</si>
  <si>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</si>
  <si>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</si>
  <si>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</si>
  <si>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</si>
  <si>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</si>
  <si>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</si>
  <si>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</si>
  <si>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</si>
  <si>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</si>
  <si>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</si>
  <si>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</si>
  <si>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</si>
  <si>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</si>
  <si>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</si>
  <si>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</si>
  <si>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</si>
  <si>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</si>
  <si>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</si>
  <si>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</si>
  <si>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</si>
  <si>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</si>
  <si>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</si>
  <si>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</si>
  <si>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</si>
  <si>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</si>
  <si>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</si>
  <si>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</si>
  <si>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</si>
  <si>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</si>
  <si>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</si>
  <si>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</si>
  <si>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</si>
  <si>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</si>
  <si>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</si>
  <si>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</si>
  <si>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</si>
  <si>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</si>
  <si>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</si>
  <si>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</si>
  <si>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</si>
  <si>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</si>
  <si>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</si>
  <si>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</si>
  <si>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</si>
  <si>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</si>
  <si>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</si>
  <si>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</si>
  <si>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</si>
  <si>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</si>
  <si>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</si>
  <si>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</si>
  <si>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</si>
  <si>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</si>
  <si>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</si>
  <si>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</si>
  <si>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</si>
  <si>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</si>
  <si>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</si>
  <si>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</si>
  <si>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</si>
  <si>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</si>
  <si>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</si>
  <si>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</si>
  <si>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</si>
  <si>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</si>
  <si>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</si>
  <si>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</si>
  <si>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</si>
  <si>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</si>
  <si>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</si>
  <si>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</si>
  <si>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</si>
  <si>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</si>
  <si>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</si>
  <si>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</si>
  <si>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AT SEPTEMBER 30, 2009</t>
  </si>
  <si>
    <t xml:space="preserve">     NET EQUITY AT SEPTEMBER 30, 2009</t>
  </si>
  <si>
    <t>SEPTEMBER 30, 2009</t>
  </si>
  <si>
    <t>NET EQUITY AT SEPTEMBER 30, 2009</t>
  </si>
  <si>
    <t>QTD PERIOD ENDED SEPTEMBER 30, 2009</t>
  </si>
  <si>
    <t>YTD PERIOD ENDED SEPTEMBER 30, 2009</t>
  </si>
  <si>
    <t>QTD PERIOD ENDING SEPTEMBER 30, 2009</t>
  </si>
  <si>
    <t>YTD PERIOD ENDING SEPTEMBER 30, 2009</t>
  </si>
  <si>
    <t>09-30-09</t>
  </si>
  <si>
    <t>CURRENT UNEARNED PREMIUM RESERVE              @ 09-30-09</t>
  </si>
  <si>
    <t>CURRENT CASE BASIS RESERVES (09-30-09)</t>
  </si>
  <si>
    <t>CURRENT I.B.N.R. RESERVES (09-30-09)</t>
  </si>
  <si>
    <t>CURRENT LOSS EXPENSE RESERVES               @ 09-30-09</t>
  </si>
  <si>
    <t>PRIOR UNEARNED PREMIUM RESERVE                     @ 06-30-09</t>
  </si>
  <si>
    <t>PRIOR LOSS RESERVES (06-30-09)</t>
  </si>
  <si>
    <t>PRIOR LOSS  EXPENSE RESERVES                     @ 06-30-09</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</si>
  <si>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</si>
  <si>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3Q09</t>
  </si>
  <si>
    <t>Underwriting Loss</t>
  </si>
  <si>
    <t>Net Loss</t>
  </si>
  <si>
    <r>
      <t xml:space="preserve"> NET GAIN</t>
    </r>
    <r>
      <rPr>
        <sz val="11"/>
        <color indexed="10"/>
        <rFont val="Century Schoolbook"/>
        <family val="1"/>
      </rPr>
      <t xml:space="preserve"> (LOSS)</t>
    </r>
  </si>
  <si>
    <r>
      <t xml:space="preserve">     NET GAIN</t>
    </r>
    <r>
      <rPr>
        <sz val="11"/>
        <color indexed="10"/>
        <rFont val="Century Schoolbook"/>
        <family val="1"/>
      </rPr>
      <t xml:space="preserve"> (LOSS)</t>
    </r>
    <r>
      <rPr>
        <sz val="11"/>
        <rFont val="Century Schoolbook"/>
        <family val="1"/>
      </rPr>
      <t xml:space="preserve"> FOR PERIOD</t>
    </r>
  </si>
  <si>
    <r>
      <t xml:space="preserve"> UNDERWRITING GAIN </t>
    </r>
    <r>
      <rPr>
        <sz val="11"/>
        <color indexed="10"/>
        <rFont val="Century Schoolbook"/>
        <family val="1"/>
      </rPr>
      <t>(LOSS)</t>
    </r>
  </si>
  <si>
    <r>
      <t xml:space="preserve">                                           </t>
    </r>
    <r>
      <rPr>
        <b/>
        <sz val="9"/>
        <rFont val="Century Schoolbook"/>
        <family val="1"/>
      </rPr>
      <t xml:space="preserve">         2Q08</t>
    </r>
    <r>
      <rPr>
        <sz val="9"/>
        <rFont val="Century Schoolbook"/>
        <family val="1"/>
      </rPr>
      <t xml:space="preserve">         $290,257</t>
    </r>
  </si>
  <si>
    <r>
      <t xml:space="preserve">                                           </t>
    </r>
    <r>
      <rPr>
        <b/>
        <sz val="9"/>
        <rFont val="Century Schoolbook"/>
        <family val="1"/>
      </rPr>
      <t xml:space="preserve">         3Q08</t>
    </r>
    <r>
      <rPr>
        <sz val="9"/>
        <rFont val="Century Schoolbook"/>
        <family val="1"/>
      </rPr>
      <t xml:space="preserve">         $275,833</t>
    </r>
  </si>
  <si>
    <r>
      <t xml:space="preserve">                                           </t>
    </r>
    <r>
      <rPr>
        <b/>
        <sz val="9"/>
        <rFont val="Century Schoolbook"/>
        <family val="1"/>
      </rPr>
      <t xml:space="preserve">         4Q08</t>
    </r>
    <r>
      <rPr>
        <sz val="9"/>
        <rFont val="Century Schoolbook"/>
        <family val="1"/>
      </rPr>
      <t xml:space="preserve">         $257,213</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</si>
</sst>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s>
  <fonts count="101">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2"/>
      <name val="Century Schoolbook"/>
      <family val="1"/>
    </font>
    <font>
      <b/>
      <i/>
      <sz val="10"/>
      <name val="Century Schoolbook"/>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3"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027">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7"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63"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63" applyFont="1" applyAlignment="1">
      <alignment horizontal="left"/>
    </xf>
    <xf numFmtId="9" fontId="4" fillId="0" borderId="0" xfId="63" applyFont="1" applyBorder="1" applyAlignment="1">
      <alignment horizontal="left"/>
    </xf>
    <xf numFmtId="9" fontId="7" fillId="0" borderId="0" xfId="63" applyFont="1" applyFill="1" applyBorder="1" applyAlignment="1">
      <alignment horizontal="center" wrapText="1"/>
    </xf>
    <xf numFmtId="9" fontId="4" fillId="0" borderId="0" xfId="63" applyFont="1" applyBorder="1" applyAlignment="1">
      <alignment horizontal="right" wrapText="1"/>
    </xf>
    <xf numFmtId="9" fontId="4" fillId="0" borderId="0" xfId="63" applyFont="1" applyAlignment="1">
      <alignment horizontal="centerContinuous" wrapText="1"/>
    </xf>
    <xf numFmtId="9" fontId="4" fillId="0" borderId="0" xfId="63" applyFont="1" applyAlignment="1">
      <alignment horizontal="right"/>
    </xf>
    <xf numFmtId="9" fontId="4" fillId="0" borderId="0" xfId="63"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63" applyFont="1" applyAlignment="1">
      <alignment horizontal="right" wrapText="1"/>
    </xf>
    <xf numFmtId="9" fontId="7" fillId="0" borderId="0" xfId="63" applyFont="1" applyAlignment="1">
      <alignment horizontal="center"/>
    </xf>
    <xf numFmtId="9" fontId="4" fillId="0" borderId="0" xfId="63" applyFont="1" applyBorder="1" applyAlignment="1">
      <alignment/>
    </xf>
    <xf numFmtId="9" fontId="7" fillId="0" borderId="0" xfId="63"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6" applyFont="1" applyAlignment="1">
      <alignment horizontal="centerContinuous"/>
    </xf>
    <xf numFmtId="44" fontId="5" fillId="0" borderId="0" xfId="46"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6"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6"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6" applyFont="1" applyBorder="1" applyAlignment="1">
      <alignment horizontal="right" wrapText="1"/>
    </xf>
    <xf numFmtId="44" fontId="20" fillId="0" borderId="15" xfId="46"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63" applyFont="1" applyAlignment="1">
      <alignment/>
    </xf>
    <xf numFmtId="10" fontId="9" fillId="0" borderId="0" xfId="63"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9" fillId="0" borderId="29" xfId="0" applyNumberFormat="1" applyFont="1" applyBorder="1" applyAlignment="1">
      <alignment horizontal="left" wrapText="1"/>
    </xf>
    <xf numFmtId="43" fontId="9" fillId="0" borderId="31"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2" xfId="0" applyNumberFormat="1" applyFont="1" applyBorder="1" applyAlignment="1">
      <alignment horizontal="center" wrapText="1"/>
    </xf>
    <xf numFmtId="7" fontId="9" fillId="0" borderId="33" xfId="0" applyNumberFormat="1" applyFont="1" applyBorder="1" applyAlignment="1">
      <alignment horizontal="center" wrapText="1"/>
    </xf>
    <xf numFmtId="7" fontId="13" fillId="0" borderId="33" xfId="0" applyNumberFormat="1" applyFont="1" applyBorder="1" applyAlignment="1">
      <alignment horizontal="left" wrapText="1"/>
    </xf>
    <xf numFmtId="7" fontId="9" fillId="0" borderId="33" xfId="0" applyNumberFormat="1" applyFont="1" applyBorder="1" applyAlignment="1">
      <alignment horizontal="left" wrapText="1"/>
    </xf>
    <xf numFmtId="7" fontId="9" fillId="0" borderId="34"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2" xfId="42" applyNumberFormat="1" applyFont="1" applyFill="1" applyBorder="1" applyAlignment="1">
      <alignment horizontal="right"/>
    </xf>
    <xf numFmtId="5" fontId="13" fillId="0" borderId="33" xfId="42" applyNumberFormat="1" applyFont="1" applyFill="1" applyBorder="1" applyAlignment="1">
      <alignment horizontal="right"/>
    </xf>
    <xf numFmtId="5" fontId="9" fillId="0" borderId="35"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6" applyNumberFormat="1" applyFont="1" applyFill="1" applyBorder="1" applyAlignment="1">
      <alignment horizontal="right"/>
    </xf>
    <xf numFmtId="43" fontId="13" fillId="0" borderId="33" xfId="42" applyFont="1" applyFill="1" applyBorder="1" applyAlignment="1">
      <alignment horizontal="right"/>
    </xf>
    <xf numFmtId="164" fontId="13" fillId="0" borderId="33" xfId="42" applyNumberFormat="1" applyFont="1" applyFill="1" applyBorder="1" applyAlignment="1">
      <alignment horizontal="right"/>
    </xf>
    <xf numFmtId="164" fontId="34" fillId="0" borderId="33"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31"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1"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6" xfId="42" applyNumberFormat="1" applyFont="1" applyFill="1" applyBorder="1" applyAlignment="1">
      <alignment horizontal="right"/>
    </xf>
    <xf numFmtId="164" fontId="13" fillId="0" borderId="31"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6" xfId="42" applyNumberFormat="1" applyFont="1" applyFill="1" applyBorder="1" applyAlignment="1">
      <alignment horizontal="right"/>
    </xf>
    <xf numFmtId="164" fontId="13" fillId="0" borderId="36"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6"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1"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6" xfId="42" applyNumberFormat="1" applyFont="1" applyFill="1" applyBorder="1" applyAlignment="1">
      <alignment horizontal="right"/>
    </xf>
    <xf numFmtId="5" fontId="13" fillId="0" borderId="31" xfId="42" applyNumberFormat="1" applyFont="1" applyBorder="1" applyAlignment="1">
      <alignment horizontal="right"/>
    </xf>
    <xf numFmtId="5" fontId="13" fillId="0" borderId="13" xfId="42" applyNumberFormat="1" applyFont="1" applyBorder="1" applyAlignment="1">
      <alignment horizontal="right"/>
    </xf>
    <xf numFmtId="5" fontId="9" fillId="37" borderId="36"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1"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6"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63"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63"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43" fontId="13" fillId="0" borderId="0" xfId="42" applyFont="1" applyFill="1" applyBorder="1" applyAlignment="1">
      <alignment horizontal="righ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6" xfId="42" applyNumberFormat="1" applyFont="1" applyFill="1" applyBorder="1" applyAlignment="1">
      <alignment horizontal="right" wrapText="1"/>
    </xf>
    <xf numFmtId="0" fontId="13" fillId="0" borderId="32" xfId="0" applyFont="1" applyBorder="1" applyAlignment="1">
      <alignment horizontal="left"/>
    </xf>
    <xf numFmtId="0" fontId="13" fillId="0" borderId="33" xfId="0" applyFont="1" applyBorder="1" applyAlignment="1">
      <alignment horizontal="left"/>
    </xf>
    <xf numFmtId="164" fontId="13" fillId="0" borderId="33" xfId="42" applyNumberFormat="1" applyFont="1" applyBorder="1" applyAlignment="1">
      <alignment/>
    </xf>
    <xf numFmtId="164" fontId="13" fillId="0" borderId="33" xfId="42" applyNumberFormat="1" applyFont="1" applyBorder="1" applyAlignment="1">
      <alignment horizontal="left"/>
    </xf>
    <xf numFmtId="164" fontId="13" fillId="0" borderId="33" xfId="0" applyNumberFormat="1" applyFont="1" applyBorder="1" applyAlignment="1">
      <alignment horizontal="left"/>
    </xf>
    <xf numFmtId="164" fontId="13" fillId="0" borderId="13" xfId="42" applyNumberFormat="1" applyFont="1" applyBorder="1" applyAlignment="1">
      <alignment horizontal="left"/>
    </xf>
    <xf numFmtId="43" fontId="13" fillId="0" borderId="33" xfId="42" applyFont="1" applyBorder="1" applyAlignment="1">
      <alignment/>
    </xf>
    <xf numFmtId="164" fontId="13" fillId="0" borderId="33" xfId="42" applyNumberFormat="1" applyFont="1" applyBorder="1" applyAlignment="1">
      <alignment/>
    </xf>
    <xf numFmtId="164" fontId="13" fillId="0" borderId="33"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6"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7"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7" applyNumberFormat="1" applyFont="1" applyFill="1" applyBorder="1" applyAlignment="1">
      <alignment horizontal="center" wrapText="1"/>
    </xf>
    <xf numFmtId="7" fontId="13" fillId="0" borderId="29" xfId="47" applyNumberFormat="1" applyFont="1" applyFill="1" applyBorder="1" applyAlignment="1">
      <alignment horizontal="right" wrapText="1"/>
    </xf>
    <xf numFmtId="43" fontId="13" fillId="0" borderId="0" xfId="42" applyFont="1" applyBorder="1" applyAlignment="1">
      <alignment horizontal="left"/>
    </xf>
    <xf numFmtId="0" fontId="13" fillId="0" borderId="36" xfId="0" applyFont="1" applyBorder="1" applyAlignment="1">
      <alignment/>
    </xf>
    <xf numFmtId="7" fontId="15" fillId="0" borderId="29" xfId="47" applyNumberFormat="1" applyFont="1" applyFill="1" applyBorder="1" applyAlignment="1">
      <alignment horizontal="left" wrapText="1"/>
    </xf>
    <xf numFmtId="7" fontId="13" fillId="0" borderId="29" xfId="47" applyNumberFormat="1" applyFont="1" applyFill="1" applyBorder="1" applyAlignment="1">
      <alignment horizontal="left"/>
    </xf>
    <xf numFmtId="5" fontId="4" fillId="0" borderId="0" xfId="42" applyNumberFormat="1" applyFont="1" applyBorder="1" applyAlignment="1">
      <alignment horizontal="right"/>
    </xf>
    <xf numFmtId="164" fontId="9" fillId="0" borderId="36" xfId="42" applyNumberFormat="1" applyFont="1" applyFill="1" applyBorder="1" applyAlignment="1">
      <alignment horizontal="right"/>
    </xf>
    <xf numFmtId="7" fontId="9" fillId="0" borderId="29" xfId="47"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1" xfId="47"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6" applyNumberFormat="1" applyFont="1" applyFill="1" applyBorder="1" applyAlignment="1">
      <alignment horizontal="right"/>
    </xf>
    <xf numFmtId="5" fontId="14" fillId="33" borderId="36"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6"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63"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63" applyNumberFormat="1" applyFont="1" applyBorder="1" applyAlignment="1">
      <alignment horizontal="right"/>
    </xf>
    <xf numFmtId="10" fontId="2" fillId="0" borderId="0" xfId="63" applyNumberFormat="1" applyFont="1" applyAlignment="1">
      <alignment horizontal="center"/>
    </xf>
    <xf numFmtId="10" fontId="2" fillId="0" borderId="0" xfId="63" applyNumberFormat="1" applyFont="1" applyAlignment="1">
      <alignment horizontal="center"/>
    </xf>
    <xf numFmtId="10" fontId="2" fillId="0" borderId="0" xfId="63" applyNumberFormat="1" applyFont="1" applyAlignment="1">
      <alignment horizontal="right"/>
    </xf>
    <xf numFmtId="10" fontId="7" fillId="0" borderId="13" xfId="63" applyNumberFormat="1" applyFont="1" applyBorder="1" applyAlignment="1">
      <alignment horizontal="right"/>
    </xf>
    <xf numFmtId="10" fontId="56" fillId="0" borderId="0" xfId="63" applyNumberFormat="1" applyFont="1" applyAlignment="1">
      <alignment horizontal="right"/>
    </xf>
    <xf numFmtId="10" fontId="56" fillId="0" borderId="13" xfId="63"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63" applyNumberFormat="1" applyFont="1" applyBorder="1" applyAlignment="1">
      <alignment horizontal="center"/>
    </xf>
    <xf numFmtId="10" fontId="2" fillId="0" borderId="14" xfId="63"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63"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63"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6" applyNumberFormat="1" applyFont="1" applyBorder="1" applyAlignment="1">
      <alignment horizontal="left"/>
    </xf>
    <xf numFmtId="165" fontId="2" fillId="0" borderId="0" xfId="46" applyNumberFormat="1" applyFont="1" applyBorder="1" applyAlignment="1">
      <alignment/>
    </xf>
    <xf numFmtId="165" fontId="56" fillId="0" borderId="0" xfId="46" applyNumberFormat="1" applyFont="1" applyBorder="1" applyAlignment="1">
      <alignment/>
    </xf>
    <xf numFmtId="165" fontId="7" fillId="0" borderId="44" xfId="46" applyNumberFormat="1" applyFont="1" applyBorder="1" applyAlignment="1">
      <alignment horizontal="left"/>
    </xf>
    <xf numFmtId="165" fontId="2" fillId="0" borderId="44" xfId="46" applyNumberFormat="1" applyFont="1" applyBorder="1" applyAlignment="1">
      <alignment/>
    </xf>
    <xf numFmtId="165" fontId="56" fillId="0" borderId="44" xfId="46" applyNumberFormat="1" applyFont="1" applyBorder="1" applyAlignment="1">
      <alignment/>
    </xf>
    <xf numFmtId="10" fontId="7" fillId="0" borderId="44" xfId="63"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63"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6" applyNumberFormat="1" applyFont="1" applyBorder="1" applyAlignment="1">
      <alignment horizontal="left"/>
    </xf>
    <xf numFmtId="165" fontId="0" fillId="0" borderId="0" xfId="46" applyNumberFormat="1" applyFont="1" applyAlignment="1">
      <alignment/>
    </xf>
    <xf numFmtId="165" fontId="55" fillId="0" borderId="0" xfId="46" applyNumberFormat="1" applyFont="1" applyAlignment="1">
      <alignment/>
    </xf>
    <xf numFmtId="165" fontId="0" fillId="0" borderId="0" xfId="46" applyNumberFormat="1" applyFont="1" applyAlignment="1">
      <alignment/>
    </xf>
    <xf numFmtId="165" fontId="7" fillId="0" borderId="15" xfId="46" applyNumberFormat="1" applyFont="1" applyBorder="1" applyAlignment="1">
      <alignment horizontal="right"/>
    </xf>
    <xf numFmtId="165" fontId="0" fillId="0" borderId="15" xfId="46" applyNumberFormat="1" applyFont="1" applyBorder="1" applyAlignment="1">
      <alignment/>
    </xf>
    <xf numFmtId="165" fontId="35" fillId="0" borderId="15" xfId="46" applyNumberFormat="1" applyFont="1" applyBorder="1" applyAlignment="1">
      <alignment horizontal="right"/>
    </xf>
    <xf numFmtId="10" fontId="4" fillId="0" borderId="0" xfId="63" applyNumberFormat="1" applyFont="1" applyBorder="1" applyAlignment="1">
      <alignment horizontal="right" wrapText="1"/>
    </xf>
    <xf numFmtId="10" fontId="7" fillId="0" borderId="0" xfId="63" applyNumberFormat="1" applyFont="1" applyBorder="1" applyAlignment="1">
      <alignment horizontal="right" wrapText="1"/>
    </xf>
    <xf numFmtId="10" fontId="4" fillId="34" borderId="0" xfId="63" applyNumberFormat="1" applyFont="1" applyFill="1" applyBorder="1" applyAlignment="1">
      <alignment horizontal="right" wrapText="1"/>
    </xf>
    <xf numFmtId="10" fontId="4" fillId="0" borderId="0" xfId="63"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7" fontId="12" fillId="0" borderId="0" xfId="0" applyNumberFormat="1" applyFont="1" applyFill="1" applyBorder="1" applyAlignment="1" quotePrefix="1">
      <alignment horizontal="center"/>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5" fillId="0" borderId="0" xfId="0" applyFont="1" applyFill="1" applyBorder="1" applyAlignment="1">
      <alignment/>
    </xf>
    <xf numFmtId="164" fontId="13" fillId="0" borderId="0" xfId="42"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43" fontId="13" fillId="0" borderId="0" xfId="0" applyNumberFormat="1" applyFont="1" applyFill="1" applyBorder="1" applyAlignment="1">
      <alignment/>
    </xf>
    <xf numFmtId="164" fontId="13" fillId="0" borderId="0" xfId="0" applyNumberFormat="1" applyFont="1" applyFill="1" applyBorder="1" applyAlignment="1">
      <alignment/>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172" fontId="37" fillId="0" borderId="0" xfId="42" applyNumberFormat="1" applyFont="1" applyAlignment="1">
      <alignment/>
    </xf>
    <xf numFmtId="172" fontId="37" fillId="0" borderId="0" xfId="42"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6"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164" fontId="13" fillId="0" borderId="0" xfId="42" applyNumberFormat="1" applyFont="1" applyFill="1" applyBorder="1" applyAlignment="1">
      <alignment/>
    </xf>
    <xf numFmtId="164" fontId="13" fillId="0" borderId="0" xfId="0" applyNumberFormat="1" applyFont="1" applyFill="1" applyBorder="1" applyAlignment="1">
      <alignment horizontal="left" wrapText="1"/>
    </xf>
    <xf numFmtId="0" fontId="61" fillId="0" borderId="0" xfId="0" applyFont="1" applyAlignment="1">
      <alignment/>
    </xf>
    <xf numFmtId="5" fontId="61" fillId="0" borderId="0" xfId="42" applyNumberFormat="1" applyFont="1" applyAlignment="1" quotePrefix="1">
      <alignment horizontal="right"/>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7" fontId="9" fillId="0" borderId="0" xfId="47" applyNumberFormat="1" applyFont="1" applyFill="1" applyBorder="1" applyAlignment="1">
      <alignment horizontal="center" wrapText="1"/>
    </xf>
    <xf numFmtId="7" fontId="13" fillId="0" borderId="0" xfId="47" applyNumberFormat="1" applyFont="1" applyFill="1" applyBorder="1" applyAlignment="1">
      <alignment horizontal="right" wrapText="1"/>
    </xf>
    <xf numFmtId="7" fontId="15" fillId="0" borderId="0" xfId="47" applyNumberFormat="1" applyFont="1" applyFill="1" applyBorder="1" applyAlignment="1">
      <alignment horizontal="left" wrapText="1"/>
    </xf>
    <xf numFmtId="7" fontId="13" fillId="0" borderId="0" xfId="47" applyNumberFormat="1" applyFont="1" applyFill="1" applyBorder="1" applyAlignment="1">
      <alignment horizontal="left"/>
    </xf>
    <xf numFmtId="7" fontId="9" fillId="0" borderId="0" xfId="47" applyNumberFormat="1" applyFont="1" applyFill="1" applyBorder="1" applyAlignment="1">
      <alignment horizontal="left"/>
    </xf>
    <xf numFmtId="5" fontId="13" fillId="0" borderId="0" xfId="0" applyNumberFormat="1" applyFont="1" applyAlignment="1">
      <alignment/>
    </xf>
    <xf numFmtId="164" fontId="13" fillId="0" borderId="0" xfId="0" applyNumberFormat="1" applyFont="1" applyAlignment="1">
      <alignmen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6" xfId="42" applyNumberFormat="1" applyFont="1" applyBorder="1" applyAlignment="1">
      <alignment/>
    </xf>
    <xf numFmtId="7" fontId="13" fillId="0" borderId="36"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6"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37" fillId="0" borderId="0" xfId="0" applyFont="1" applyAlignment="1">
      <alignment horizontal="center"/>
    </xf>
    <xf numFmtId="0" fontId="31" fillId="0" borderId="0" xfId="0" applyFont="1" applyBorder="1" applyAlignment="1">
      <alignment horizontal="right"/>
    </xf>
    <xf numFmtId="0" fontId="31" fillId="0" borderId="0" xfId="0" applyFont="1" applyAlignment="1">
      <alignment horizontal="center"/>
    </xf>
    <xf numFmtId="38" fontId="37" fillId="0" borderId="0" xfId="0" applyNumberFormat="1" applyFont="1" applyAlignment="1">
      <alignment horizontal="center"/>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5" fontId="9" fillId="0" borderId="15" xfId="42"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6"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9" fillId="38" borderId="40" xfId="42" applyNumberFormat="1" applyFont="1" applyFill="1" applyBorder="1" applyAlignment="1" quotePrefix="1">
      <alignment horizontal="centerContinuous" wrapText="1"/>
    </xf>
    <xf numFmtId="43" fontId="13" fillId="38" borderId="23" xfId="42" applyNumberFormat="1" applyFont="1" applyFill="1" applyBorder="1" applyAlignment="1">
      <alignment horizontal="centerContinuous"/>
    </xf>
    <xf numFmtId="43" fontId="9" fillId="38" borderId="31"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6"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5" fontId="9" fillId="0" borderId="36" xfId="42" applyNumberFormat="1" applyFont="1" applyFill="1" applyBorder="1" applyAlignment="1">
      <alignment horizontal="right"/>
    </xf>
    <xf numFmtId="164" fontId="13" fillId="0" borderId="39" xfId="42" applyNumberFormat="1" applyFont="1" applyFill="1" applyBorder="1" applyAlignment="1">
      <alignment horizontal="right"/>
    </xf>
    <xf numFmtId="43" fontId="13" fillId="0" borderId="0" xfId="0" applyNumberFormat="1" applyFont="1" applyAlignment="1">
      <alignment/>
    </xf>
    <xf numFmtId="37" fontId="13" fillId="0" borderId="0" xfId="42" applyNumberFormat="1" applyFont="1" applyBorder="1" applyAlignment="1">
      <alignment/>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173" fontId="13" fillId="0" borderId="0" xfId="0" applyNumberFormat="1" applyFont="1" applyBorder="1" applyAlignment="1">
      <alignment horizontal="center"/>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Border="1" applyAlignment="1">
      <alignment/>
    </xf>
    <xf numFmtId="6" fontId="9" fillId="0" borderId="15" xfId="42" applyNumberFormat="1" applyFont="1" applyBorder="1" applyAlignment="1">
      <alignment/>
    </xf>
    <xf numFmtId="38" fontId="13" fillId="0" borderId="14" xfId="42" applyNumberFormat="1" applyFont="1" applyFill="1" applyBorder="1" applyAlignment="1">
      <alignment/>
    </xf>
    <xf numFmtId="38" fontId="13" fillId="0" borderId="0" xfId="42" applyNumberFormat="1" applyFont="1" applyFill="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38" fontId="13" fillId="0" borderId="36" xfId="42" applyNumberFormat="1" applyFont="1" applyBorder="1" applyAlignment="1">
      <alignment/>
    </xf>
    <xf numFmtId="38" fontId="13" fillId="0" borderId="37" xfId="42" applyNumberFormat="1" applyFont="1" applyBorder="1" applyAlignment="1">
      <alignment/>
    </xf>
    <xf numFmtId="38" fontId="13" fillId="0" borderId="0" xfId="42" applyNumberFormat="1" applyFont="1" applyBorder="1" applyAlignment="1">
      <alignment/>
    </xf>
    <xf numFmtId="38" fontId="13" fillId="0" borderId="31"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6"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38" fontId="9" fillId="0" borderId="15" xfId="42" applyNumberFormat="1" applyFont="1" applyFill="1" applyBorder="1" applyAlignment="1">
      <alignment/>
    </xf>
    <xf numFmtId="0" fontId="66" fillId="0" borderId="0" xfId="0" applyFont="1" applyAlignment="1">
      <alignment/>
    </xf>
    <xf numFmtId="5" fontId="66" fillId="0" borderId="0" xfId="42" applyNumberFormat="1" applyFont="1" applyAlignment="1">
      <alignment horizontal="right"/>
    </xf>
    <xf numFmtId="14" fontId="66" fillId="0" borderId="0" xfId="42" applyNumberFormat="1" applyFont="1" applyAlignment="1" quotePrefix="1">
      <alignment horizontal="right"/>
    </xf>
    <xf numFmtId="38" fontId="13" fillId="0" borderId="13" xfId="42" applyNumberFormat="1" applyFont="1" applyBorder="1" applyAlignment="1">
      <alignment/>
    </xf>
    <xf numFmtId="14" fontId="9" fillId="38" borderId="40" xfId="42" applyNumberFormat="1" applyFont="1" applyFill="1" applyBorder="1" applyAlignment="1" quotePrefix="1">
      <alignment horizontal="centerContinuous" wrapText="1"/>
    </xf>
    <xf numFmtId="38" fontId="37" fillId="0" borderId="0" xfId="0" applyNumberFormat="1" applyFont="1" applyAlignment="1">
      <alignment horizontal="right"/>
    </xf>
    <xf numFmtId="5" fontId="37" fillId="0" borderId="0" xfId="0" applyNumberFormat="1" applyFont="1" applyAlignment="1">
      <alignment horizontal="center"/>
    </xf>
    <xf numFmtId="5" fontId="13" fillId="0" borderId="0" xfId="0" applyNumberFormat="1" applyFont="1" applyFill="1" applyBorder="1" applyAlignment="1">
      <alignment/>
    </xf>
    <xf numFmtId="0" fontId="67" fillId="0" borderId="0" xfId="0" applyFont="1" applyAlignment="1">
      <alignment/>
    </xf>
    <xf numFmtId="5" fontId="67" fillId="0" borderId="0" xfId="42" applyNumberFormat="1" applyFont="1" applyAlignment="1">
      <alignment horizontal="right"/>
    </xf>
    <xf numFmtId="174" fontId="67" fillId="0" borderId="0" xfId="42" applyNumberFormat="1" applyFont="1" applyAlignment="1">
      <alignment horizontal="right"/>
    </xf>
    <xf numFmtId="6" fontId="13" fillId="0" borderId="0" xfId="42" applyNumberFormat="1" applyFont="1" applyFill="1" applyAlignment="1">
      <alignment horizontal="right"/>
    </xf>
    <xf numFmtId="164" fontId="13" fillId="0" borderId="15" xfId="42" applyNumberFormat="1" applyFont="1" applyFill="1" applyBorder="1" applyAlignment="1">
      <alignment horizontal="right"/>
    </xf>
    <xf numFmtId="6" fontId="9" fillId="0" borderId="36" xfId="42" applyNumberFormat="1" applyFont="1" applyFill="1" applyBorder="1" applyAlignment="1">
      <alignment horizontal="right"/>
    </xf>
    <xf numFmtId="6" fontId="9" fillId="0" borderId="24" xfId="42" applyNumberFormat="1" applyFont="1" applyFill="1" applyBorder="1" applyAlignment="1">
      <alignment horizontal="right"/>
    </xf>
    <xf numFmtId="43" fontId="13" fillId="0" borderId="14" xfId="42" applyFont="1" applyFill="1" applyBorder="1" applyAlignment="1">
      <alignment horizontal="right"/>
    </xf>
    <xf numFmtId="43" fontId="13" fillId="0" borderId="0" xfId="42" applyNumberFormat="1" applyFont="1" applyFill="1" applyAlignment="1">
      <alignment horizontal="right"/>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6"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6"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6"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6"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6"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58" fillId="0" borderId="0" xfId="0" applyFont="1" applyAlignment="1">
      <alignment horizontal="left" vertical="center" wrapText="1"/>
    </xf>
    <xf numFmtId="0" fontId="59" fillId="0" borderId="0" xfId="0" applyFont="1" applyAlignment="1">
      <alignment horizontal="center" vertical="center" wrapText="1"/>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6"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6" xfId="0" applyNumberFormat="1" applyFont="1" applyFill="1" applyBorder="1" applyAlignment="1">
      <alignment horizontal="center"/>
    </xf>
    <xf numFmtId="0" fontId="37" fillId="0" borderId="0" xfId="0" applyNumberFormat="1" applyFont="1" applyAlignment="1">
      <alignment horizontal="left" vertical="center" wrapText="1"/>
    </xf>
    <xf numFmtId="0" fontId="37" fillId="0" borderId="0" xfId="0" applyNumberFormat="1" applyFont="1" applyAlignment="1">
      <alignment horizontal="center" vertical="center" wrapText="1"/>
    </xf>
    <xf numFmtId="0" fontId="37" fillId="0" borderId="0" xfId="0" applyFont="1" applyAlignment="1">
      <alignment horizontal="left" vertical="center" wrapText="1"/>
    </xf>
    <xf numFmtId="0" fontId="31" fillId="0" borderId="0" xfId="0" applyFont="1" applyAlignment="1">
      <alignment horizontal="center" vertical="center" wrapText="1"/>
    </xf>
    <xf numFmtId="172" fontId="43" fillId="0" borderId="0" xfId="42" applyNumberFormat="1" applyFont="1" applyAlignment="1">
      <alignment horizontal="center"/>
    </xf>
    <xf numFmtId="172" fontId="6" fillId="0" borderId="0" xfId="42" applyNumberFormat="1" applyFont="1" applyAlignment="1">
      <alignment horizontal="center"/>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6"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STYLE1" xfId="64"/>
    <cellStyle name="STYLE2" xfId="65"/>
    <cellStyle name="STYLE3" xfId="66"/>
    <cellStyle name="STYLE4" xfId="67"/>
    <cellStyle name="STYLE5" xfId="68"/>
    <cellStyle name="STYLE6" xfId="69"/>
    <cellStyle name="STYLE7"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Q09%20Flux%20Analysi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rial Balance"/>
      <sheetName val="Unpaid Loss Reserves-13"/>
      <sheetName val="Unpaid Loss Expense Reserves-14"/>
      <sheetName val="Loss Expenses Paid QTD-15"/>
      <sheetName val="Loss Expenses Paid YTD-16"/>
      <sheetName val="Page 1"/>
      <sheetName val="Page 2"/>
      <sheetName val="Page 3"/>
      <sheetName val="Page 4"/>
      <sheetName val="Page 5"/>
      <sheetName val="Page 6"/>
      <sheetName val="3Q09 Trial Balance"/>
    </sheetNames>
    <sheetDataSet>
      <sheetData sheetId="0">
        <row r="17">
          <cell r="F17">
            <v>417070.77000000014</v>
          </cell>
        </row>
        <row r="21">
          <cell r="F21">
            <v>13468014.9</v>
          </cell>
        </row>
        <row r="24">
          <cell r="F24">
            <v>32055.81</v>
          </cell>
        </row>
        <row r="28">
          <cell r="F28">
            <v>24578.59</v>
          </cell>
        </row>
        <row r="36">
          <cell r="F36">
            <v>34897</v>
          </cell>
        </row>
        <row r="40">
          <cell r="F40">
            <v>12218.149999999994</v>
          </cell>
        </row>
        <row r="56">
          <cell r="F56">
            <v>13066.45</v>
          </cell>
        </row>
        <row r="64">
          <cell r="E64">
            <v>-306068.03</v>
          </cell>
        </row>
        <row r="65">
          <cell r="E65">
            <v>-92498.07</v>
          </cell>
        </row>
        <row r="66">
          <cell r="E66">
            <v>-1000.66</v>
          </cell>
        </row>
        <row r="68">
          <cell r="E68">
            <v>-4771846.93</v>
          </cell>
        </row>
        <row r="69">
          <cell r="E69">
            <v>-1432604.17</v>
          </cell>
        </row>
        <row r="70">
          <cell r="E70">
            <v>-17476.85</v>
          </cell>
        </row>
        <row r="72">
          <cell r="F72">
            <v>-6621494.709999999</v>
          </cell>
        </row>
        <row r="88">
          <cell r="F88">
            <v>-1961898.9400000002</v>
          </cell>
        </row>
        <row r="99">
          <cell r="F99">
            <v>-538361</v>
          </cell>
        </row>
        <row r="118">
          <cell r="F118">
            <v>-264840</v>
          </cell>
        </row>
        <row r="134">
          <cell r="F134">
            <v>-89207.54</v>
          </cell>
        </row>
        <row r="140">
          <cell r="F140">
            <v>-33141.47</v>
          </cell>
        </row>
        <row r="144">
          <cell r="F144">
            <v>-27056.29</v>
          </cell>
        </row>
        <row r="147">
          <cell r="F147">
            <v>-20538.67</v>
          </cell>
        </row>
        <row r="156">
          <cell r="F156">
            <v>-216461.9</v>
          </cell>
        </row>
        <row r="184">
          <cell r="F184">
            <v>-366561.15</v>
          </cell>
        </row>
        <row r="187">
          <cell r="F187">
            <v>-2313906</v>
          </cell>
        </row>
        <row r="190">
          <cell r="F190">
            <v>-1748970</v>
          </cell>
        </row>
        <row r="193">
          <cell r="F193">
            <v>-324883.69</v>
          </cell>
        </row>
        <row r="199">
          <cell r="F199">
            <v>-191939.59</v>
          </cell>
        </row>
        <row r="207">
          <cell r="C207">
            <v>-65080.72</v>
          </cell>
        </row>
        <row r="216">
          <cell r="C216">
            <v>0</v>
          </cell>
          <cell r="E216">
            <v>1670</v>
          </cell>
        </row>
        <row r="217">
          <cell r="C217">
            <v>0</v>
          </cell>
          <cell r="E217">
            <v>524</v>
          </cell>
        </row>
        <row r="219">
          <cell r="C219">
            <v>-815</v>
          </cell>
          <cell r="E219">
            <v>935</v>
          </cell>
        </row>
        <row r="220">
          <cell r="C220">
            <v>-277</v>
          </cell>
          <cell r="E220">
            <v>247</v>
          </cell>
        </row>
        <row r="222">
          <cell r="C222">
            <v>-891</v>
          </cell>
          <cell r="E222">
            <v>1328</v>
          </cell>
        </row>
        <row r="223">
          <cell r="C223">
            <v>-291</v>
          </cell>
          <cell r="E223">
            <v>344</v>
          </cell>
        </row>
        <row r="225">
          <cell r="C225">
            <v>14320</v>
          </cell>
          <cell r="E225">
            <v>59759</v>
          </cell>
        </row>
        <row r="226">
          <cell r="C226">
            <v>2301</v>
          </cell>
          <cell r="E226">
            <v>20530</v>
          </cell>
        </row>
        <row r="227">
          <cell r="C227">
            <v>172</v>
          </cell>
          <cell r="E227">
            <v>450</v>
          </cell>
        </row>
        <row r="229">
          <cell r="C229">
            <v>-2583909</v>
          </cell>
          <cell r="E229">
            <v>-7593077</v>
          </cell>
        </row>
        <row r="230">
          <cell r="C230">
            <v>-777615</v>
          </cell>
          <cell r="E230">
            <v>-2264950</v>
          </cell>
        </row>
        <row r="231">
          <cell r="C231">
            <v>-10450</v>
          </cell>
          <cell r="E231">
            <v>-26743</v>
          </cell>
        </row>
        <row r="264">
          <cell r="D264">
            <v>-39050.27</v>
          </cell>
          <cell r="F264">
            <v>-180628.87</v>
          </cell>
        </row>
        <row r="284">
          <cell r="D284">
            <v>-1016.33</v>
          </cell>
          <cell r="F284">
            <v>-65864.12</v>
          </cell>
        </row>
        <row r="286">
          <cell r="F286">
            <v>-1392.79</v>
          </cell>
        </row>
        <row r="288">
          <cell r="D288">
            <v>-2604.45</v>
          </cell>
          <cell r="F288">
            <v>-9146.77</v>
          </cell>
        </row>
        <row r="290">
          <cell r="E290">
            <v>-4062.47</v>
          </cell>
        </row>
        <row r="291">
          <cell r="C291">
            <v>-9794.9</v>
          </cell>
          <cell r="E291">
            <v>-11271.6</v>
          </cell>
        </row>
        <row r="293">
          <cell r="C293">
            <v>-6639</v>
          </cell>
          <cell r="E293">
            <v>-6639</v>
          </cell>
        </row>
        <row r="295">
          <cell r="D295">
            <v>-20054.68</v>
          </cell>
          <cell r="F295">
            <v>-98376.75</v>
          </cell>
        </row>
        <row r="415">
          <cell r="D415">
            <v>0</v>
          </cell>
          <cell r="F415">
            <v>-219.4</v>
          </cell>
        </row>
        <row r="418">
          <cell r="D418">
            <v>109.2</v>
          </cell>
          <cell r="F418">
            <v>-118.2</v>
          </cell>
        </row>
        <row r="421">
          <cell r="D421">
            <v>118.19999999999999</v>
          </cell>
          <cell r="F421">
            <v>-167.20000000000002</v>
          </cell>
        </row>
        <row r="425">
          <cell r="D425">
            <v>-1530.8</v>
          </cell>
          <cell r="F425">
            <v>-7052.900000000001</v>
          </cell>
        </row>
        <row r="429">
          <cell r="D429">
            <v>299949.15</v>
          </cell>
          <cell r="F429">
            <v>876708</v>
          </cell>
        </row>
        <row r="431">
          <cell r="D431">
            <v>298645.75</v>
          </cell>
          <cell r="F431">
            <v>869150.3</v>
          </cell>
        </row>
        <row r="434">
          <cell r="D434">
            <v>7438.97</v>
          </cell>
          <cell r="F434">
            <v>30421.91</v>
          </cell>
        </row>
        <row r="436">
          <cell r="D436">
            <v>4125</v>
          </cell>
          <cell r="F436">
            <v>10725</v>
          </cell>
        </row>
        <row r="440">
          <cell r="D440">
            <v>54735.96</v>
          </cell>
          <cell r="F440">
            <v>111449.32</v>
          </cell>
        </row>
        <row r="442">
          <cell r="D442">
            <v>66299.93</v>
          </cell>
          <cell r="F442">
            <v>152596.23</v>
          </cell>
        </row>
        <row r="447">
          <cell r="C447">
            <v>-2655.35</v>
          </cell>
          <cell r="E447">
            <v>-2655.35</v>
          </cell>
        </row>
        <row r="448">
          <cell r="C448">
            <v>-900</v>
          </cell>
          <cell r="E448">
            <v>-900</v>
          </cell>
        </row>
        <row r="776">
          <cell r="D776">
            <v>1018993.8400000002</v>
          </cell>
          <cell r="F776">
            <v>2973201.929999998</v>
          </cell>
        </row>
      </sheetData>
      <sheetData sheetId="1">
        <row r="8">
          <cell r="B8">
            <v>0</v>
          </cell>
          <cell r="D8">
            <v>236980.6</v>
          </cell>
        </row>
        <row r="9">
          <cell r="B9">
            <v>0</v>
          </cell>
          <cell r="D9">
            <v>0</v>
          </cell>
        </row>
        <row r="10">
          <cell r="B10">
            <v>0</v>
          </cell>
          <cell r="D10">
            <v>0</v>
          </cell>
        </row>
        <row r="15">
          <cell r="B15">
            <v>0</v>
          </cell>
          <cell r="D15">
            <v>46000</v>
          </cell>
        </row>
        <row r="16">
          <cell r="B16">
            <v>0</v>
          </cell>
          <cell r="D16">
            <v>0</v>
          </cell>
        </row>
        <row r="17">
          <cell r="B17">
            <v>0</v>
          </cell>
          <cell r="D17">
            <v>0</v>
          </cell>
        </row>
        <row r="22">
          <cell r="B22">
            <v>8808.23</v>
          </cell>
          <cell r="D22">
            <v>73355</v>
          </cell>
        </row>
        <row r="23">
          <cell r="B23">
            <v>1200.77</v>
          </cell>
          <cell r="D23">
            <v>10000</v>
          </cell>
        </row>
        <row r="24">
          <cell r="B24">
            <v>0</v>
          </cell>
          <cell r="D24">
            <v>0</v>
          </cell>
        </row>
        <row r="28">
          <cell r="B28">
            <v>149247.21</v>
          </cell>
          <cell r="D28">
            <v>721370</v>
          </cell>
        </row>
        <row r="29">
          <cell r="B29">
            <v>18593.79</v>
          </cell>
          <cell r="D29">
            <v>89871.06</v>
          </cell>
        </row>
        <row r="30">
          <cell r="B30">
            <v>0</v>
          </cell>
          <cell r="D30">
            <v>0</v>
          </cell>
        </row>
        <row r="35">
          <cell r="B35">
            <v>291128.95</v>
          </cell>
          <cell r="D35">
            <v>633375.74</v>
          </cell>
        </row>
        <row r="36">
          <cell r="B36">
            <v>69382.05</v>
          </cell>
          <cell r="D36">
            <v>150946.54</v>
          </cell>
        </row>
        <row r="37">
          <cell r="B37">
            <v>0</v>
          </cell>
          <cell r="D37">
            <v>0</v>
          </cell>
        </row>
      </sheetData>
      <sheetData sheetId="2">
        <row r="22">
          <cell r="B22">
            <v>116481.26000000001</v>
          </cell>
          <cell r="C22">
            <v>127796.06</v>
          </cell>
          <cell r="D22">
            <v>34028.6</v>
          </cell>
          <cell r="E22">
            <v>16457.95</v>
          </cell>
          <cell r="F22">
            <v>10962.43</v>
          </cell>
        </row>
        <row r="23">
          <cell r="B23">
            <v>27759.89</v>
          </cell>
          <cell r="C23">
            <v>15921.32</v>
          </cell>
          <cell r="D23">
            <v>4639.030000000001</v>
          </cell>
          <cell r="E23">
            <v>0</v>
          </cell>
          <cell r="F23">
            <v>0</v>
          </cell>
        </row>
        <row r="24">
          <cell r="B24">
            <v>0</v>
          </cell>
          <cell r="C24">
            <v>0</v>
          </cell>
          <cell r="D24">
            <v>0</v>
          </cell>
          <cell r="E24">
            <v>0</v>
          </cell>
          <cell r="F24">
            <v>0</v>
          </cell>
        </row>
      </sheetData>
      <sheetData sheetId="3">
        <row r="9">
          <cell r="E9">
            <v>13537.81</v>
          </cell>
          <cell r="K9">
            <v>13703.500000000002</v>
          </cell>
        </row>
        <row r="10">
          <cell r="E10">
            <v>0</v>
          </cell>
          <cell r="K10">
            <v>112.35</v>
          </cell>
        </row>
        <row r="11">
          <cell r="E11">
            <v>0</v>
          </cell>
          <cell r="K11">
            <v>0</v>
          </cell>
        </row>
        <row r="12">
          <cell r="C12">
            <v>12776.650000000001</v>
          </cell>
          <cell r="I12">
            <v>1039.2</v>
          </cell>
        </row>
        <row r="15">
          <cell r="E15">
            <v>0</v>
          </cell>
          <cell r="K15">
            <v>8339.23</v>
          </cell>
        </row>
        <row r="16">
          <cell r="E16">
            <v>0</v>
          </cell>
          <cell r="K16">
            <v>268.13</v>
          </cell>
        </row>
        <row r="17">
          <cell r="E17">
            <v>0</v>
          </cell>
          <cell r="K17">
            <v>0</v>
          </cell>
        </row>
        <row r="18">
          <cell r="C18">
            <v>8607.359999999999</v>
          </cell>
          <cell r="I18">
            <v>0</v>
          </cell>
        </row>
        <row r="21">
          <cell r="E21">
            <v>32500</v>
          </cell>
          <cell r="K21">
            <v>10523.71</v>
          </cell>
        </row>
        <row r="22">
          <cell r="E22">
            <v>8122.23</v>
          </cell>
          <cell r="K22">
            <v>4683.5</v>
          </cell>
        </row>
        <row r="23">
          <cell r="E23">
            <v>0</v>
          </cell>
          <cell r="K23">
            <v>0</v>
          </cell>
        </row>
        <row r="24">
          <cell r="C24">
            <v>12089.94</v>
          </cell>
          <cell r="I24">
            <v>3118.27</v>
          </cell>
        </row>
        <row r="27">
          <cell r="E27">
            <v>1201428.32</v>
          </cell>
          <cell r="K27">
            <v>138936.66999999998</v>
          </cell>
        </row>
        <row r="28">
          <cell r="E28">
            <v>69254.55</v>
          </cell>
          <cell r="K28">
            <v>35010.16</v>
          </cell>
        </row>
        <row r="29">
          <cell r="E29">
            <v>0</v>
          </cell>
          <cell r="K29">
            <v>0</v>
          </cell>
        </row>
        <row r="30">
          <cell r="C30">
            <v>76405.89</v>
          </cell>
          <cell r="I30">
            <v>97540.94</v>
          </cell>
        </row>
        <row r="33">
          <cell r="E33">
            <v>452962.28</v>
          </cell>
          <cell r="K33">
            <v>49344.66</v>
          </cell>
        </row>
        <row r="34">
          <cell r="E34">
            <v>56471.39</v>
          </cell>
          <cell r="K34">
            <v>29774.989999999998</v>
          </cell>
        </row>
        <row r="35">
          <cell r="E35">
            <v>0</v>
          </cell>
          <cell r="K35">
            <v>0</v>
          </cell>
        </row>
        <row r="36">
          <cell r="C36">
            <v>40014.19</v>
          </cell>
          <cell r="I36">
            <v>39106.46</v>
          </cell>
        </row>
        <row r="42">
          <cell r="C42">
            <v>149894.03</v>
          </cell>
          <cell r="E42">
            <v>1834275.58</v>
          </cell>
          <cell r="I42">
            <v>140803.87</v>
          </cell>
        </row>
      </sheetData>
      <sheetData sheetId="4">
        <row r="9">
          <cell r="E9">
            <v>7000</v>
          </cell>
          <cell r="K9">
            <v>32173.129999999997</v>
          </cell>
        </row>
        <row r="10">
          <cell r="E10">
            <v>0</v>
          </cell>
          <cell r="K10">
            <v>1191.85</v>
          </cell>
        </row>
        <row r="11">
          <cell r="E11">
            <v>0</v>
          </cell>
          <cell r="K11">
            <v>0</v>
          </cell>
        </row>
        <row r="12">
          <cell r="C12">
            <v>32695.089999999997</v>
          </cell>
          <cell r="I12">
            <v>669.89</v>
          </cell>
        </row>
        <row r="15">
          <cell r="E15">
            <v>26049.88</v>
          </cell>
          <cell r="K15">
            <v>23593.29</v>
          </cell>
        </row>
        <row r="16">
          <cell r="K16">
            <v>268.13</v>
          </cell>
        </row>
        <row r="17">
          <cell r="E17">
            <v>0</v>
          </cell>
          <cell r="K17">
            <v>0</v>
          </cell>
        </row>
        <row r="18">
          <cell r="C18">
            <v>27811.960000000003</v>
          </cell>
          <cell r="I18">
            <v>-3950.54</v>
          </cell>
        </row>
        <row r="21">
          <cell r="E21">
            <v>286676.83</v>
          </cell>
          <cell r="K21">
            <v>70883.98</v>
          </cell>
        </row>
        <row r="22">
          <cell r="E22">
            <v>46463.25</v>
          </cell>
          <cell r="K22">
            <v>15843.880000000001</v>
          </cell>
        </row>
        <row r="23">
          <cell r="E23">
            <v>0</v>
          </cell>
          <cell r="K23">
            <v>0</v>
          </cell>
        </row>
        <row r="24">
          <cell r="C24">
            <v>50670.8</v>
          </cell>
          <cell r="I24">
            <v>36057.06</v>
          </cell>
        </row>
        <row r="27">
          <cell r="E27">
            <v>3670545.75</v>
          </cell>
          <cell r="K27">
            <v>457488.12</v>
          </cell>
        </row>
        <row r="28">
          <cell r="E28">
            <v>340937.13</v>
          </cell>
          <cell r="K28">
            <v>137653.80000000002</v>
          </cell>
        </row>
        <row r="29">
          <cell r="E29">
            <v>0</v>
          </cell>
          <cell r="K29">
            <v>0</v>
          </cell>
        </row>
        <row r="30">
          <cell r="C30">
            <v>272129.93</v>
          </cell>
          <cell r="I30">
            <v>323011.99</v>
          </cell>
        </row>
        <row r="33">
          <cell r="E33">
            <v>1165482.3</v>
          </cell>
          <cell r="K33">
            <v>103571.67</v>
          </cell>
        </row>
        <row r="34">
          <cell r="E34">
            <v>86948.55</v>
          </cell>
          <cell r="K34">
            <v>43966.79</v>
          </cell>
        </row>
        <row r="35">
          <cell r="E35">
            <v>0</v>
          </cell>
          <cell r="K35">
            <v>125</v>
          </cell>
        </row>
        <row r="36">
          <cell r="C36">
            <v>65256.09</v>
          </cell>
          <cell r="I36">
            <v>82408.37</v>
          </cell>
        </row>
        <row r="42">
          <cell r="C42">
            <v>448563.87</v>
          </cell>
          <cell r="E42">
            <v>5630103.6899999995</v>
          </cell>
          <cell r="I42">
            <v>438195.76999999996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8" t="s">
        <v>297</v>
      </c>
      <c r="B1" s="948"/>
      <c r="C1" s="948"/>
      <c r="D1" s="948"/>
      <c r="E1" s="948"/>
      <c r="F1" s="948"/>
      <c r="G1" s="948"/>
      <c r="H1" s="948"/>
      <c r="I1" s="948"/>
    </row>
    <row r="2" spans="1:7" s="20" customFormat="1" ht="18.75">
      <c r="A2" s="949"/>
      <c r="B2" s="949"/>
      <c r="C2" s="949"/>
      <c r="D2" s="949"/>
      <c r="E2" s="949"/>
      <c r="F2" s="370"/>
      <c r="G2" s="370"/>
    </row>
    <row r="3" spans="1:9" s="21" customFormat="1" ht="15">
      <c r="A3" s="950" t="s">
        <v>315</v>
      </c>
      <c r="B3" s="950"/>
      <c r="C3" s="950"/>
      <c r="D3" s="950"/>
      <c r="E3" s="950"/>
      <c r="F3" s="950"/>
      <c r="G3" s="950"/>
      <c r="H3" s="950"/>
      <c r="I3" s="950"/>
    </row>
    <row r="4" spans="1:9" s="21" customFormat="1" ht="15">
      <c r="A4" s="951" t="s">
        <v>197</v>
      </c>
      <c r="B4" s="951"/>
      <c r="C4" s="951"/>
      <c r="D4" s="951"/>
      <c r="E4" s="951"/>
      <c r="F4" s="951"/>
      <c r="G4" s="951"/>
      <c r="H4" s="951"/>
      <c r="I4" s="951"/>
    </row>
    <row r="5" spans="1:9" s="21" customFormat="1" ht="15">
      <c r="A5" s="634"/>
      <c r="B5" s="635"/>
      <c r="C5" s="635"/>
      <c r="D5" s="635"/>
      <c r="E5" s="635"/>
      <c r="F5" s="337"/>
      <c r="G5" s="337"/>
      <c r="H5" s="337"/>
      <c r="I5" s="337"/>
    </row>
    <row r="6" spans="1:7" ht="14.25">
      <c r="A6" s="22"/>
      <c r="B6" s="342"/>
      <c r="C6" s="342"/>
      <c r="F6" s="342"/>
      <c r="G6" s="342"/>
    </row>
    <row r="7" spans="2:9" ht="15">
      <c r="B7" s="636" t="s">
        <v>269</v>
      </c>
      <c r="C7" s="636"/>
      <c r="D7" s="636" t="s">
        <v>65</v>
      </c>
      <c r="E7" s="636"/>
      <c r="F7" s="636" t="s">
        <v>269</v>
      </c>
      <c r="G7" s="636"/>
      <c r="H7" s="636" t="s">
        <v>65</v>
      </c>
      <c r="I7" s="636"/>
    </row>
    <row r="8" spans="1:9" ht="15">
      <c r="A8" s="637"/>
      <c r="B8" s="508" t="s">
        <v>270</v>
      </c>
      <c r="C8" s="508"/>
      <c r="D8" s="508" t="s">
        <v>181</v>
      </c>
      <c r="E8" s="508"/>
      <c r="F8" s="508" t="s">
        <v>271</v>
      </c>
      <c r="G8" s="508"/>
      <c r="H8" s="508" t="s">
        <v>182</v>
      </c>
      <c r="I8" s="508"/>
    </row>
    <row r="9" spans="2:9" ht="15">
      <c r="B9" s="638"/>
      <c r="C9" s="639"/>
      <c r="D9" s="638"/>
      <c r="E9" s="640"/>
      <c r="F9" s="638"/>
      <c r="G9" s="640"/>
      <c r="H9" s="638"/>
      <c r="I9" s="640"/>
    </row>
    <row r="10" spans="1:9" ht="15">
      <c r="A10" s="637" t="s">
        <v>317</v>
      </c>
      <c r="B10" s="638"/>
      <c r="C10" s="640"/>
      <c r="D10" s="638"/>
      <c r="E10" s="640"/>
      <c r="F10" s="638"/>
      <c r="G10" s="640"/>
      <c r="H10" s="638"/>
      <c r="I10" s="640"/>
    </row>
    <row r="11" spans="1:9" ht="15">
      <c r="A11" s="637"/>
      <c r="B11" s="638"/>
      <c r="C11" s="640"/>
      <c r="D11" s="638"/>
      <c r="E11" s="640"/>
      <c r="F11" s="638"/>
      <c r="G11" s="640"/>
      <c r="H11" s="638"/>
      <c r="I11" s="640"/>
    </row>
    <row r="12" spans="1:9" ht="15">
      <c r="A12" s="18" t="s">
        <v>318</v>
      </c>
      <c r="C12" s="561">
        <f>'[1]Earned Incurred QTD-p5'!D16</f>
        <v>4977049</v>
      </c>
      <c r="D12" s="493"/>
      <c r="E12" s="561">
        <f>'[1]Earned Incurred YTD-p6'!D16</f>
        <v>14052348</v>
      </c>
      <c r="G12" s="561">
        <f>+'[2]Income Statement (pg 2)'!$C$12</f>
        <v>4336172</v>
      </c>
      <c r="I12" s="561">
        <f>+'[2]Income Statement (pg 2)'!$E$12</f>
        <v>12605846</v>
      </c>
    </row>
    <row r="13" spans="1:9" ht="15">
      <c r="A13" s="637"/>
      <c r="C13" s="489"/>
      <c r="E13" s="489"/>
      <c r="G13" s="489"/>
      <c r="I13" s="489"/>
    </row>
    <row r="14" spans="1:9" ht="15">
      <c r="A14" s="637" t="s">
        <v>319</v>
      </c>
      <c r="C14" s="489"/>
      <c r="E14" s="489"/>
      <c r="G14" s="489"/>
      <c r="I14" s="489"/>
    </row>
    <row r="15" spans="1:9" ht="14.25">
      <c r="A15" s="18" t="s">
        <v>320</v>
      </c>
      <c r="B15" s="127">
        <f>'[1]Earned Incurred QTD-p5'!D23</f>
        <v>3008827.2250000006</v>
      </c>
      <c r="C15" s="489"/>
      <c r="D15" s="127">
        <f>'[1]Earned Incurred YTD-p6'!D23</f>
        <v>10083053.040000003</v>
      </c>
      <c r="E15" s="489"/>
      <c r="F15" s="127">
        <f>+'[2]Income Statement (pg 2)'!$B$15</f>
        <v>3666364.3599999994</v>
      </c>
      <c r="G15" s="489"/>
      <c r="H15" s="127">
        <f>+'[2]Income Statement (pg 2)'!$D$15</f>
        <v>10954919.14</v>
      </c>
      <c r="I15" s="489"/>
    </row>
    <row r="16" spans="1:9" ht="14.25">
      <c r="A16" s="18" t="s">
        <v>321</v>
      </c>
      <c r="B16" s="127">
        <f>'[1]Earned Incurred QTD-p5'!D30</f>
        <v>391930.13999999996</v>
      </c>
      <c r="C16" s="489"/>
      <c r="D16" s="127">
        <f>'[1]Earned Incurred YTD-p6'!D30</f>
        <v>1203762.75</v>
      </c>
      <c r="E16" s="489"/>
      <c r="F16" s="127">
        <f>+'[2]Income Statement (pg 2)'!$B$16</f>
        <v>411228.76</v>
      </c>
      <c r="G16" s="489"/>
      <c r="H16" s="127">
        <f>+'[2]Income Statement (pg 2)'!$D$16</f>
        <v>1134850.71</v>
      </c>
      <c r="I16" s="489"/>
    </row>
    <row r="17" spans="1:9" ht="14.25">
      <c r="A17" s="18" t="s">
        <v>322</v>
      </c>
      <c r="B17" s="127">
        <f>'[1]Earned Incurred QTD-p5'!D37</f>
        <v>502893.80000000005</v>
      </c>
      <c r="C17" s="489"/>
      <c r="D17" s="127">
        <f>+'[1]Earned Incurred YTD-p6'!D37</f>
        <v>1421253.0999999999</v>
      </c>
      <c r="E17" s="489"/>
      <c r="F17" s="127">
        <f>+'[2]Income Statement (pg 2)'!$B$17:$B$17</f>
        <v>404349.55000000005</v>
      </c>
      <c r="G17" s="489"/>
      <c r="H17" s="127">
        <f>+'[2]Income Statement (pg 2)'!$D$17</f>
        <v>1195688.7</v>
      </c>
      <c r="I17" s="489"/>
    </row>
    <row r="18" spans="1:9" ht="14.25">
      <c r="A18" s="18" t="s">
        <v>323</v>
      </c>
      <c r="B18" s="127">
        <f>'[1]Earned Incurred QTD-p5'!C39+'[1]Earned Incurred QTD-p5'!C38+'[1]Earned Incurred QTD-p5'!C43</f>
        <v>1078138.9600000002</v>
      </c>
      <c r="C18" s="489"/>
      <c r="D18" s="127">
        <f>'[1]Earned Incurred YTD-p6'!C38+'[1]Earned Incurred YTD-p6'!C39+'[1]Earned Incurred YTD-p6'!C43</f>
        <v>3156457.869999998</v>
      </c>
      <c r="E18" s="489"/>
      <c r="F18" s="127">
        <f>+'[2]Income Statement (pg 2)'!$B$18</f>
        <v>859175.9900000002</v>
      </c>
      <c r="G18" s="489"/>
      <c r="H18" s="127">
        <f>+'[2]Income Statement (pg 2)'!$D$18</f>
        <v>2663959.2600000016</v>
      </c>
      <c r="I18" s="489"/>
    </row>
    <row r="19" spans="1:9" ht="14.25">
      <c r="A19" s="18" t="s">
        <v>145</v>
      </c>
      <c r="B19" s="145">
        <f>'[1]Earned Incurred QTD-p5'!D36</f>
        <v>19861.65</v>
      </c>
      <c r="C19" s="489"/>
      <c r="D19" s="145">
        <f>'[1]Earned Incurred YTD-p6'!D36</f>
        <v>77491.65</v>
      </c>
      <c r="E19" s="489"/>
      <c r="F19" s="145">
        <f>+'[2]Income Statement (pg 2)'!$B$19</f>
        <v>11580</v>
      </c>
      <c r="G19" s="489"/>
      <c r="H19" s="145">
        <f>+'[2]Income Statement (pg 2)'!$D$19</f>
        <v>32840.51</v>
      </c>
      <c r="I19" s="489"/>
    </row>
    <row r="20" spans="1:9" ht="14.25">
      <c r="A20" s="18" t="s">
        <v>324</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428</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325</v>
      </c>
      <c r="C24" s="489"/>
      <c r="E24" s="489"/>
      <c r="G24" s="489"/>
      <c r="I24" s="489"/>
    </row>
    <row r="25" spans="1:9" ht="14.25">
      <c r="A25" s="18" t="s">
        <v>326</v>
      </c>
      <c r="C25" s="489">
        <f>'[1]Earned Incurred QTD-p5'!D52</f>
        <v>26859.149999999994</v>
      </c>
      <c r="E25" s="489">
        <f>'[1]Earned Incurred YTD-p6'!D52</f>
        <v>88395.67</v>
      </c>
      <c r="G25" s="489">
        <f>+'[2]Income Statement (pg 2)'!$C$25</f>
        <v>52310.600000000006</v>
      </c>
      <c r="I25" s="489">
        <f>+'[2]Income Statement (pg 2)'!$E$25</f>
        <v>170480.6</v>
      </c>
    </row>
    <row r="26" spans="3:9" ht="14.25">
      <c r="C26" s="489"/>
      <c r="E26" s="489"/>
      <c r="G26" s="489"/>
      <c r="I26" s="489"/>
    </row>
    <row r="27" spans="1:9" ht="15" thickBot="1">
      <c r="A27" s="18" t="s">
        <v>429</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313</v>
      </c>
      <c r="C29" s="489"/>
      <c r="E29" s="489"/>
      <c r="G29" s="489"/>
      <c r="I29" s="489"/>
    </row>
    <row r="30" spans="1:9" ht="14.25">
      <c r="A30" s="18" t="s">
        <v>327</v>
      </c>
      <c r="C30" s="489">
        <f>'[3]Balance Sheet-p1'!$E$45</f>
        <v>-11338276.419999996</v>
      </c>
      <c r="E30" s="489">
        <f>'[3]Income Statement-p2'!$E$30</f>
        <v>-9552178.5</v>
      </c>
      <c r="G30" s="489">
        <f>+'[2]Income Statement (pg 2)'!$C$30</f>
        <v>-7427828.95</v>
      </c>
      <c r="I30" s="489">
        <v>-5217179.38</v>
      </c>
    </row>
    <row r="31" spans="1:9" ht="14.25">
      <c r="A31" s="18" t="s">
        <v>430</v>
      </c>
      <c r="B31" s="127">
        <f>C27</f>
        <v>2256.3749999986903</v>
      </c>
      <c r="C31" s="489"/>
      <c r="D31" s="127">
        <f>+'[1]Earned Incurred YTD-p6'!D54</f>
        <v>-1801274.7400000002</v>
      </c>
      <c r="E31" s="489"/>
      <c r="F31" s="127">
        <f>G27</f>
        <v>-964216.0599999992</v>
      </c>
      <c r="G31" s="489"/>
      <c r="H31" s="127">
        <f>I27</f>
        <v>-3205931.720000002</v>
      </c>
      <c r="I31" s="489"/>
    </row>
    <row r="32" spans="1:9" ht="14.25" customHeight="1">
      <c r="A32" s="18" t="s">
        <v>328</v>
      </c>
      <c r="B32" s="145">
        <v>15024.93</v>
      </c>
      <c r="D32" s="127">
        <v>32458.12</v>
      </c>
      <c r="E32" s="489"/>
      <c r="F32" s="491">
        <f>+'[2]Income Statement (pg 2)'!$B$32</f>
        <v>16655</v>
      </c>
      <c r="G32" s="489"/>
      <c r="H32" s="127">
        <f>+'[2]Income Statement (pg 2)'!$D$32</f>
        <v>-287408.34</v>
      </c>
      <c r="I32" s="489"/>
    </row>
    <row r="33" spans="1:9" ht="14.25">
      <c r="A33" s="18" t="s">
        <v>117</v>
      </c>
      <c r="B33" s="127">
        <v>0</v>
      </c>
      <c r="D33" s="127">
        <f>-40790-4979.98-26-1710</f>
        <v>-47505.979999999996</v>
      </c>
      <c r="E33" s="489"/>
      <c r="F33" s="127">
        <v>0</v>
      </c>
      <c r="H33" s="492">
        <f>+'[2]Income Statement (pg 2)'!$D$33</f>
        <v>-25.57</v>
      </c>
      <c r="I33" s="489"/>
    </row>
    <row r="34" spans="1:9" ht="14.25">
      <c r="A34" s="18" t="s">
        <v>118</v>
      </c>
      <c r="B34" s="145">
        <v>0</v>
      </c>
      <c r="C34" s="489"/>
      <c r="D34" s="145">
        <v>0</v>
      </c>
      <c r="E34" s="489"/>
      <c r="F34" s="145" t="e">
        <f>+'[4]TB09-30-02(Final)'!I931</f>
        <v>#REF!</v>
      </c>
      <c r="G34" s="489"/>
      <c r="H34" s="145">
        <f>+'[2]Income Statement (pg 2)'!$D$34</f>
        <v>335155</v>
      </c>
      <c r="I34" s="489"/>
    </row>
    <row r="35" spans="1:9" ht="14.25">
      <c r="A35" s="18" t="s">
        <v>329</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272</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88"/>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2" t="s">
        <v>297</v>
      </c>
      <c r="B1" s="992"/>
      <c r="C1" s="992"/>
      <c r="D1" s="992"/>
      <c r="E1" s="992"/>
      <c r="F1" s="992"/>
      <c r="G1" s="992"/>
    </row>
    <row r="2" spans="1:7" s="27" customFormat="1" ht="15" customHeight="1">
      <c r="A2" s="993"/>
      <c r="B2" s="993"/>
      <c r="C2" s="993"/>
      <c r="D2" s="993"/>
      <c r="E2" s="993"/>
      <c r="F2" s="993"/>
      <c r="G2" s="993"/>
    </row>
    <row r="3" spans="1:7" s="773" customFormat="1" ht="15" customHeight="1">
      <c r="A3" s="994" t="s">
        <v>330</v>
      </c>
      <c r="B3" s="994"/>
      <c r="C3" s="994"/>
      <c r="D3" s="994"/>
      <c r="E3" s="994"/>
      <c r="F3" s="994"/>
      <c r="G3" s="994"/>
    </row>
    <row r="4" spans="1:7" s="773" customFormat="1" ht="15" customHeight="1">
      <c r="A4" s="994" t="s">
        <v>482</v>
      </c>
      <c r="B4" s="994"/>
      <c r="C4" s="994"/>
      <c r="D4" s="994"/>
      <c r="E4" s="994"/>
      <c r="F4" s="994"/>
      <c r="G4" s="994"/>
    </row>
    <row r="5" spans="1:7" s="29" customFormat="1" ht="15" customHeight="1">
      <c r="A5" s="381"/>
      <c r="B5" s="797"/>
      <c r="C5" s="797"/>
      <c r="D5" s="798"/>
      <c r="E5" s="799"/>
      <c r="F5" s="799"/>
      <c r="G5" s="800"/>
    </row>
    <row r="6" spans="1:7" s="776" customFormat="1" ht="30" customHeight="1">
      <c r="A6" s="821"/>
      <c r="B6" s="904" t="s">
        <v>3</v>
      </c>
      <c r="C6" s="904" t="s">
        <v>44</v>
      </c>
      <c r="D6" s="904" t="s">
        <v>41</v>
      </c>
      <c r="E6" s="904" t="s">
        <v>47</v>
      </c>
      <c r="F6" s="905" t="s">
        <v>4</v>
      </c>
      <c r="G6" s="885" t="s">
        <v>298</v>
      </c>
    </row>
    <row r="7" spans="1:7" s="777" customFormat="1" ht="15" customHeight="1">
      <c r="A7" s="822" t="s">
        <v>332</v>
      </c>
      <c r="B7" s="823"/>
      <c r="C7" s="823"/>
      <c r="D7" s="824"/>
      <c r="E7" s="824"/>
      <c r="F7" s="824"/>
      <c r="G7" s="824"/>
    </row>
    <row r="8" spans="1:7" s="775" customFormat="1" ht="15" customHeight="1">
      <c r="A8" s="825" t="s">
        <v>333</v>
      </c>
      <c r="B8" s="925">
        <f>'Premiums YTD-8'!B12</f>
        <v>9884770</v>
      </c>
      <c r="C8" s="925">
        <f>'Premiums YTD-8'!C12</f>
        <v>-80739</v>
      </c>
      <c r="D8" s="925">
        <f>'Premiums YTD-8'!D12</f>
        <v>-1672</v>
      </c>
      <c r="E8" s="925">
        <f>'Premiums YTD-8'!E12</f>
        <v>-1182</v>
      </c>
      <c r="F8" s="925">
        <f>'Premiums YTD-8'!F12</f>
        <v>-2194</v>
      </c>
      <c r="G8" s="826">
        <f>SUM(B8:F8)</f>
        <v>9798983</v>
      </c>
    </row>
    <row r="9" spans="1:7" s="775" customFormat="1" ht="15" customHeight="1">
      <c r="A9" s="825" t="s">
        <v>334</v>
      </c>
      <c r="B9" s="927">
        <f>'Earned Incurred YTD-6'!C48</f>
        <v>220934.06</v>
      </c>
      <c r="C9" s="589">
        <v>0</v>
      </c>
      <c r="D9" s="589">
        <v>0</v>
      </c>
      <c r="E9" s="589">
        <v>0</v>
      </c>
      <c r="F9" s="589">
        <v>0</v>
      </c>
      <c r="G9" s="827">
        <f>SUM(B9:F9)</f>
        <v>220934.06</v>
      </c>
    </row>
    <row r="10" spans="1:7" s="775" customFormat="1" ht="15" customHeight="1" thickBot="1">
      <c r="A10" s="828" t="s">
        <v>335</v>
      </c>
      <c r="B10" s="926">
        <f aca="true" t="shared" si="0" ref="B10:G10">SUM(B8:B9)</f>
        <v>10105704.06</v>
      </c>
      <c r="C10" s="926">
        <f t="shared" si="0"/>
        <v>-80739</v>
      </c>
      <c r="D10" s="926">
        <f t="shared" si="0"/>
        <v>-1672</v>
      </c>
      <c r="E10" s="926">
        <f t="shared" si="0"/>
        <v>-1182</v>
      </c>
      <c r="F10" s="926">
        <f t="shared" si="0"/>
        <v>-2194</v>
      </c>
      <c r="G10" s="830">
        <f t="shared" si="0"/>
        <v>10019917.06</v>
      </c>
    </row>
    <row r="11" spans="1:7" s="775" customFormat="1" ht="15" customHeight="1" thickTop="1">
      <c r="A11" s="828"/>
      <c r="B11" s="831"/>
      <c r="C11" s="831"/>
      <c r="D11" s="831"/>
      <c r="E11" s="827"/>
      <c r="F11" s="827"/>
      <c r="G11" s="827"/>
    </row>
    <row r="12" spans="1:7" s="775" customFormat="1" ht="15" customHeight="1">
      <c r="A12" s="822" t="s">
        <v>336</v>
      </c>
      <c r="B12" s="824"/>
      <c r="C12" s="824"/>
      <c r="D12" s="824"/>
      <c r="E12" s="832"/>
      <c r="F12" s="832"/>
      <c r="G12" s="827"/>
    </row>
    <row r="13" spans="1:7" s="775" customFormat="1" ht="15" customHeight="1">
      <c r="A13" s="828" t="s">
        <v>337</v>
      </c>
      <c r="B13" s="927">
        <f>'Losses Incurred YTD-10'!B12</f>
        <v>1245791.85</v>
      </c>
      <c r="C13" s="927">
        <f>'Losses Incurred YTD-10'!C12</f>
        <v>3996148.8099999996</v>
      </c>
      <c r="D13" s="927">
        <f>'Losses Incurred YTD-10'!D12</f>
        <v>323993.31</v>
      </c>
      <c r="E13" s="927">
        <f>'Losses Incurred YTD-10'!E12</f>
        <v>24657.09</v>
      </c>
      <c r="F13" s="927">
        <f>'Losses Incurred YTD-10'!F12</f>
        <v>-58864.119999999995</v>
      </c>
      <c r="G13" s="827">
        <f>SUM(B13:F13)</f>
        <v>5531726.9399999995</v>
      </c>
    </row>
    <row r="14" spans="1:7" s="775" customFormat="1" ht="15" customHeight="1">
      <c r="A14" s="828" t="s">
        <v>338</v>
      </c>
      <c r="B14" s="927">
        <f>'[7]Loss Expenses Paid YTD-16'!C36</f>
        <v>65256.09</v>
      </c>
      <c r="C14" s="927">
        <f>'[7]Loss Expenses Paid YTD-16'!C30</f>
        <v>272129.93</v>
      </c>
      <c r="D14" s="927">
        <f>'[7]Loss Expenses Paid YTD-16'!C24</f>
        <v>50670.8</v>
      </c>
      <c r="E14" s="927">
        <f>'[7]Loss Expenses Paid YTD-16'!C18</f>
        <v>27811.960000000003</v>
      </c>
      <c r="F14" s="927">
        <f>'[7]Loss Expenses Paid YTD-16'!C12</f>
        <v>32695.089999999997</v>
      </c>
      <c r="G14" s="827">
        <f>SUM(B14:F14)</f>
        <v>448563.87</v>
      </c>
    </row>
    <row r="15" spans="1:8" s="775" customFormat="1" ht="15" customHeight="1">
      <c r="A15" s="828" t="s">
        <v>339</v>
      </c>
      <c r="B15" s="927">
        <f>'[7]Loss Expenses Paid YTD-16'!I36</f>
        <v>82408.37</v>
      </c>
      <c r="C15" s="927">
        <f>'[7]Loss Expenses Paid YTD-16'!I30</f>
        <v>323011.99</v>
      </c>
      <c r="D15" s="927">
        <f>'[7]Loss Expenses Paid YTD-16'!I24</f>
        <v>36057.06</v>
      </c>
      <c r="E15" s="927">
        <f>'[7]Loss Expenses Paid YTD-16'!I18</f>
        <v>-3950.54</v>
      </c>
      <c r="F15" s="927">
        <f>'[7]Loss Expenses Paid YTD-16'!I12</f>
        <v>669.89</v>
      </c>
      <c r="G15" s="827">
        <f>SUM(B15:F15)-1</f>
        <v>438195.77</v>
      </c>
      <c r="H15" s="779"/>
    </row>
    <row r="16" spans="1:7" s="775" customFormat="1" ht="15" customHeight="1">
      <c r="A16" s="828" t="s">
        <v>340</v>
      </c>
      <c r="B16" s="927">
        <f>'[7]Trial Balance'!F434</f>
        <v>30421.91</v>
      </c>
      <c r="C16" s="589">
        <v>0</v>
      </c>
      <c r="D16" s="589">
        <v>0</v>
      </c>
      <c r="E16" s="589">
        <v>0</v>
      </c>
      <c r="F16" s="589">
        <v>0</v>
      </c>
      <c r="G16" s="827">
        <f>SUM(B16:F16)</f>
        <v>30421.91</v>
      </c>
    </row>
    <row r="17" spans="1:8" s="775" customFormat="1" ht="15" customHeight="1">
      <c r="A17" s="833" t="s">
        <v>341</v>
      </c>
      <c r="B17" s="927">
        <f>'[7]Trial Balance'!F440</f>
        <v>111449.32</v>
      </c>
      <c r="C17" s="589">
        <v>0</v>
      </c>
      <c r="D17" s="589">
        <v>0</v>
      </c>
      <c r="E17" s="589">
        <v>0</v>
      </c>
      <c r="F17" s="589">
        <v>0</v>
      </c>
      <c r="G17" s="827">
        <f>SUM(B17:F17)</f>
        <v>111449.32</v>
      </c>
      <c r="H17" s="779"/>
    </row>
    <row r="18" spans="1:8" s="775" customFormat="1" ht="15" customHeight="1">
      <c r="A18" s="828" t="s">
        <v>343</v>
      </c>
      <c r="B18" s="927">
        <f>'[7]Trial Balance'!F436</f>
        <v>10725</v>
      </c>
      <c r="C18" s="589">
        <v>0</v>
      </c>
      <c r="D18" s="589">
        <v>0</v>
      </c>
      <c r="E18" s="589">
        <v>0</v>
      </c>
      <c r="F18" s="589">
        <v>0</v>
      </c>
      <c r="G18" s="827">
        <f>SUM(B18:F18)</f>
        <v>10725</v>
      </c>
      <c r="H18" s="779"/>
    </row>
    <row r="19" spans="1:7" s="775" customFormat="1" ht="15" customHeight="1">
      <c r="A19" s="833" t="s">
        <v>342</v>
      </c>
      <c r="B19" s="927">
        <f>'[7]Trial Balance'!F429-1</f>
        <v>876707</v>
      </c>
      <c r="C19" s="927">
        <f>'[7]Trial Balance'!F425</f>
        <v>-7052.900000000001</v>
      </c>
      <c r="D19" s="927">
        <f>'[7]Trial Balance'!F421</f>
        <v>-167.20000000000002</v>
      </c>
      <c r="E19" s="927">
        <f>'[7]Trial Balance'!F418</f>
        <v>-118.2</v>
      </c>
      <c r="F19" s="927">
        <f>'[7]Trial Balance'!F415</f>
        <v>-219.4</v>
      </c>
      <c r="G19" s="827">
        <f>SUM(B19:F19)+1</f>
        <v>869150.3</v>
      </c>
    </row>
    <row r="20" spans="1:8" s="775" customFormat="1" ht="15" customHeight="1">
      <c r="A20" s="828" t="s">
        <v>344</v>
      </c>
      <c r="B20" s="927">
        <f>'Earned Incurred YTD-6'!C39</f>
        <v>2931786.029999998</v>
      </c>
      <c r="C20" s="589">
        <v>0</v>
      </c>
      <c r="D20" s="589">
        <v>0</v>
      </c>
      <c r="E20" s="589">
        <v>0</v>
      </c>
      <c r="F20" s="589">
        <v>0</v>
      </c>
      <c r="G20" s="827">
        <f>SUM(B20:F20)</f>
        <v>2931786.029999998</v>
      </c>
      <c r="H20" s="779"/>
    </row>
    <row r="21" spans="1:8" s="775" customFormat="1" ht="15" customHeight="1">
      <c r="A21" s="828" t="s">
        <v>143</v>
      </c>
      <c r="B21" s="827">
        <f>19251.52+9722.52+10125-1800</f>
        <v>37299.04</v>
      </c>
      <c r="C21" s="927">
        <f>4474.57+10125+'[7]Trial Balance'!C448</f>
        <v>13699.57</v>
      </c>
      <c r="D21" s="927">
        <f>'[7]Trial Balance'!C447</f>
        <v>-2655.35</v>
      </c>
      <c r="E21" s="589">
        <v>0</v>
      </c>
      <c r="F21" s="589">
        <v>0</v>
      </c>
      <c r="G21" s="827">
        <f>SUM(B21:F21)+1</f>
        <v>48344.26</v>
      </c>
      <c r="H21" s="779"/>
    </row>
    <row r="22" spans="1:8" s="775" customFormat="1" ht="15" customHeight="1" thickBot="1">
      <c r="A22" s="828" t="s">
        <v>335</v>
      </c>
      <c r="B22" s="926">
        <f>SUM(B13:B21)-1</f>
        <v>5391843.6099999985</v>
      </c>
      <c r="C22" s="926">
        <f>SUM(C13:C21)+1</f>
        <v>4597938.399999999</v>
      </c>
      <c r="D22" s="926">
        <f>SUM(D13:D21)</f>
        <v>407898.62</v>
      </c>
      <c r="E22" s="926">
        <f>SUM(E13:E21)</f>
        <v>48400.310000000005</v>
      </c>
      <c r="F22" s="926">
        <f>SUM(F13:F21)+1</f>
        <v>-25717.54</v>
      </c>
      <c r="G22" s="830">
        <f>SUM(G13:G21)</f>
        <v>10420363.399999999</v>
      </c>
      <c r="H22" s="778"/>
    </row>
    <row r="23" spans="1:7" s="775" customFormat="1" ht="15" customHeight="1" thickTop="1">
      <c r="A23" s="828"/>
      <c r="B23" s="831"/>
      <c r="C23" s="831"/>
      <c r="D23" s="831"/>
      <c r="E23" s="827"/>
      <c r="F23" s="827"/>
      <c r="G23" s="827"/>
    </row>
    <row r="24" spans="1:7" s="775" customFormat="1" ht="15" customHeight="1" thickBot="1">
      <c r="A24" s="834" t="s">
        <v>345</v>
      </c>
      <c r="B24" s="928">
        <f>B10-B22</f>
        <v>4713860.450000002</v>
      </c>
      <c r="C24" s="928">
        <f>C10-C22</f>
        <v>-4678677.399999999</v>
      </c>
      <c r="D24" s="928">
        <f>D10-D22</f>
        <v>-409570.62</v>
      </c>
      <c r="E24" s="928">
        <f>E10-E22</f>
        <v>-49582.310000000005</v>
      </c>
      <c r="F24" s="928">
        <f>F10-F22</f>
        <v>23523.54</v>
      </c>
      <c r="G24" s="930">
        <f>SUM(B24:F24)</f>
        <v>-400446.3399999974</v>
      </c>
    </row>
    <row r="25" spans="1:7" s="775" customFormat="1" ht="15" customHeight="1" thickTop="1">
      <c r="A25" s="828"/>
      <c r="B25" s="831"/>
      <c r="C25" s="831"/>
      <c r="D25" s="831"/>
      <c r="E25" s="827"/>
      <c r="F25" s="827"/>
      <c r="G25" s="827"/>
    </row>
    <row r="26" spans="1:7" s="775" customFormat="1" ht="15" customHeight="1">
      <c r="A26" s="822" t="s">
        <v>346</v>
      </c>
      <c r="B26" s="824"/>
      <c r="C26" s="824"/>
      <c r="D26" s="824"/>
      <c r="E26" s="832"/>
      <c r="F26" s="832"/>
      <c r="G26" s="827"/>
    </row>
    <row r="27" spans="1:7" s="775" customFormat="1" ht="15" customHeight="1">
      <c r="A27" s="828" t="s">
        <v>347</v>
      </c>
      <c r="B27" s="589">
        <v>0</v>
      </c>
      <c r="C27" s="927">
        <f>'Earned Incurred YTD-6'!B50</f>
        <v>72361</v>
      </c>
      <c r="D27" s="589">
        <v>0</v>
      </c>
      <c r="E27" s="589">
        <v>0</v>
      </c>
      <c r="F27" s="589">
        <v>0</v>
      </c>
      <c r="G27" s="827">
        <f>SUM(B27:F27)</f>
        <v>72361</v>
      </c>
    </row>
    <row r="28" spans="1:8" s="775" customFormat="1" ht="15" customHeight="1">
      <c r="A28" s="828" t="s">
        <v>348</v>
      </c>
      <c r="B28" s="927">
        <f>'Balance Sheet-1'!D14</f>
        <v>520202.98000000004</v>
      </c>
      <c r="C28" s="589">
        <v>0</v>
      </c>
      <c r="D28" s="589">
        <v>0</v>
      </c>
      <c r="E28" s="589">
        <v>0</v>
      </c>
      <c r="F28" s="589">
        <v>0</v>
      </c>
      <c r="G28" s="827">
        <f>SUM(B28:F28)</f>
        <v>520202.98000000004</v>
      </c>
      <c r="H28" s="779"/>
    </row>
    <row r="29" spans="1:7" s="775" customFormat="1" ht="15" customHeight="1" thickBot="1">
      <c r="A29" s="828" t="s">
        <v>335</v>
      </c>
      <c r="B29" s="829">
        <f aca="true" t="shared" si="1" ref="B29:G29">SUM(B27:B28)</f>
        <v>520202.98000000004</v>
      </c>
      <c r="C29" s="829">
        <f t="shared" si="1"/>
        <v>72361</v>
      </c>
      <c r="D29" s="829">
        <f t="shared" si="1"/>
        <v>0</v>
      </c>
      <c r="E29" s="829">
        <f t="shared" si="1"/>
        <v>0</v>
      </c>
      <c r="F29" s="829">
        <f t="shared" si="1"/>
        <v>0</v>
      </c>
      <c r="G29" s="830">
        <f t="shared" si="1"/>
        <v>592563.98</v>
      </c>
    </row>
    <row r="30" spans="1:7" s="775" customFormat="1" ht="15" customHeight="1" thickTop="1">
      <c r="A30" s="828"/>
      <c r="B30" s="831"/>
      <c r="C30" s="831"/>
      <c r="D30" s="831"/>
      <c r="E30" s="827"/>
      <c r="F30" s="827"/>
      <c r="G30" s="827"/>
    </row>
    <row r="31" spans="1:7" s="775" customFormat="1" ht="15" customHeight="1">
      <c r="A31" s="822" t="s">
        <v>349</v>
      </c>
      <c r="B31" s="824"/>
      <c r="C31" s="824"/>
      <c r="D31" s="824"/>
      <c r="E31" s="832"/>
      <c r="F31" s="832"/>
      <c r="G31" s="827"/>
    </row>
    <row r="32" spans="1:7" s="775" customFormat="1" ht="15" customHeight="1">
      <c r="A32" s="828" t="s">
        <v>350</v>
      </c>
      <c r="B32" s="927">
        <f>'Earned Incurred YTD-6'!B49</f>
        <v>32055.81</v>
      </c>
      <c r="C32" s="589">
        <v>0</v>
      </c>
      <c r="D32" s="589">
        <v>0</v>
      </c>
      <c r="E32" s="589">
        <v>0</v>
      </c>
      <c r="F32" s="589">
        <v>0</v>
      </c>
      <c r="G32" s="827">
        <f>SUM(B32:F32)</f>
        <v>32055.81</v>
      </c>
    </row>
    <row r="33" spans="1:9" s="775" customFormat="1" ht="15" customHeight="1">
      <c r="A33" s="828" t="s">
        <v>351</v>
      </c>
      <c r="B33" s="589">
        <v>0</v>
      </c>
      <c r="C33" s="927">
        <v>715308</v>
      </c>
      <c r="D33" s="589">
        <v>0</v>
      </c>
      <c r="E33" s="589">
        <v>0</v>
      </c>
      <c r="F33" s="589">
        <v>0</v>
      </c>
      <c r="G33" s="827">
        <f>SUM(B33:F33)</f>
        <v>715308</v>
      </c>
      <c r="H33" s="779"/>
      <c r="I33" s="779"/>
    </row>
    <row r="34" spans="1:8" s="775" customFormat="1" ht="15" customHeight="1" thickBot="1">
      <c r="A34" s="828" t="s">
        <v>335</v>
      </c>
      <c r="B34" s="829">
        <f aca="true" t="shared" si="2" ref="B34:G34">SUM(B32:B33)</f>
        <v>32055.81</v>
      </c>
      <c r="C34" s="829">
        <f t="shared" si="2"/>
        <v>715308</v>
      </c>
      <c r="D34" s="829">
        <f t="shared" si="2"/>
        <v>0</v>
      </c>
      <c r="E34" s="829">
        <f t="shared" si="2"/>
        <v>0</v>
      </c>
      <c r="F34" s="829">
        <f t="shared" si="2"/>
        <v>0</v>
      </c>
      <c r="G34" s="830">
        <f t="shared" si="2"/>
        <v>747363.81</v>
      </c>
      <c r="H34" s="779"/>
    </row>
    <row r="35" spans="1:7" s="775" customFormat="1" ht="15" customHeight="1" thickTop="1">
      <c r="A35" s="828"/>
      <c r="B35" s="831"/>
      <c r="C35" s="831"/>
      <c r="D35" s="831"/>
      <c r="E35" s="827"/>
      <c r="F35" s="827"/>
      <c r="G35" s="835"/>
    </row>
    <row r="36" spans="1:7" s="775" customFormat="1" ht="15" customHeight="1" thickBot="1">
      <c r="A36" s="822" t="s">
        <v>352</v>
      </c>
      <c r="B36" s="928">
        <f>B24-B29+B34</f>
        <v>4225713.280000002</v>
      </c>
      <c r="C36" s="928">
        <f>C24-C29+C34</f>
        <v>-4035730.3999999994</v>
      </c>
      <c r="D36" s="928">
        <f>D24-D29+D34</f>
        <v>-409570.62</v>
      </c>
      <c r="E36" s="928">
        <f>E24-E29+E34</f>
        <v>-49582.310000000005</v>
      </c>
      <c r="F36" s="928">
        <f>F24-F29+F34</f>
        <v>23523.54</v>
      </c>
      <c r="G36" s="930">
        <f>SUM(B36:F36)+1</f>
        <v>-245645.5099999973</v>
      </c>
    </row>
    <row r="37" spans="1:7" s="775" customFormat="1" ht="15" customHeight="1" thickTop="1">
      <c r="A37" s="828"/>
      <c r="B37" s="831"/>
      <c r="C37" s="831"/>
      <c r="D37" s="831"/>
      <c r="E37" s="827"/>
      <c r="F37" s="827"/>
      <c r="G37" s="827"/>
    </row>
    <row r="38" spans="1:7" s="775" customFormat="1" ht="15" customHeight="1">
      <c r="A38" s="836" t="s">
        <v>147</v>
      </c>
      <c r="B38" s="837"/>
      <c r="C38" s="837"/>
      <c r="D38" s="837"/>
      <c r="E38" s="827"/>
      <c r="F38" s="827"/>
      <c r="G38" s="827"/>
    </row>
    <row r="39" spans="1:7" s="775" customFormat="1" ht="15" customHeight="1">
      <c r="A39" s="828" t="s">
        <v>310</v>
      </c>
      <c r="B39" s="827">
        <f>'Premiums YTD-8'!B18</f>
        <v>6221927.949999999</v>
      </c>
      <c r="C39" s="827">
        <f>'Premiums YTD-8'!C18</f>
        <v>399566.76</v>
      </c>
      <c r="D39" s="827">
        <f>'Premiums YTD-8'!D18</f>
        <v>0</v>
      </c>
      <c r="E39" s="827">
        <f>'Premiums YTD-8'!E18</f>
        <v>0</v>
      </c>
      <c r="F39" s="827">
        <f>'Premiums YTD-8'!F18</f>
        <v>0</v>
      </c>
      <c r="G39" s="827">
        <f>SUM(B39:F39)</f>
        <v>6621494.709999999</v>
      </c>
    </row>
    <row r="40" spans="1:7" s="775" customFormat="1" ht="15" customHeight="1">
      <c r="A40" s="828" t="s">
        <v>353</v>
      </c>
      <c r="B40" s="827">
        <f>'Losses Incurred YTD-10'!B18+'Losses Incurred YTD-10'!B24</f>
        <v>1144834.28</v>
      </c>
      <c r="C40" s="827">
        <f>'Losses Incurred YTD-10'!C18+'Losses Incurred YTD-10'!C24</f>
        <v>979082.06</v>
      </c>
      <c r="D40" s="827">
        <f>'Losses Incurred YTD-10'!D18+'Losses Incurred YTD-10'!D24</f>
        <v>93364</v>
      </c>
      <c r="E40" s="827">
        <f>'Losses Incurred YTD-10'!E18+'Losses Incurred YTD-10'!E24</f>
        <v>46000</v>
      </c>
      <c r="F40" s="827">
        <f>'Losses Incurred YTD-10'!F18+'Losses Incurred YTD-10'!F24</f>
        <v>236980.6</v>
      </c>
      <c r="G40" s="827">
        <f>SUM(B40:F40)</f>
        <v>2500260.94</v>
      </c>
    </row>
    <row r="41" spans="1:7" s="775" customFormat="1" ht="15" customHeight="1">
      <c r="A41" s="828" t="s">
        <v>354</v>
      </c>
      <c r="B41" s="827">
        <f>'Loss Expenses YTD-12'!B18</f>
        <v>144241.15000000002</v>
      </c>
      <c r="C41" s="827">
        <f>'Loss Expenses YTD-12'!C18</f>
        <v>143717.38</v>
      </c>
      <c r="D41" s="827">
        <f>'Loss Expenses YTD-12'!D18</f>
        <v>38667.63</v>
      </c>
      <c r="E41" s="827">
        <f>'Loss Expenses YTD-12'!E18</f>
        <v>16457.95</v>
      </c>
      <c r="F41" s="827">
        <f>'Loss Expenses YTD-12'!F18</f>
        <v>10962.43</v>
      </c>
      <c r="G41" s="827">
        <f>SUM(B41:F41)-1</f>
        <v>354045.54000000004</v>
      </c>
    </row>
    <row r="42" spans="1:7" s="775" customFormat="1" ht="15" customHeight="1">
      <c r="A42" s="828" t="s">
        <v>355</v>
      </c>
      <c r="B42" s="827">
        <f>'Earned Incurred YTD-6'!B41</f>
        <v>216461.9</v>
      </c>
      <c r="C42" s="589">
        <v>0</v>
      </c>
      <c r="D42" s="589">
        <v>0</v>
      </c>
      <c r="E42" s="589">
        <v>0</v>
      </c>
      <c r="F42" s="589">
        <v>0</v>
      </c>
      <c r="G42" s="827">
        <f>SUM(B42:F42)</f>
        <v>216461.9</v>
      </c>
    </row>
    <row r="43" spans="1:7" s="775" customFormat="1" ht="15" customHeight="1">
      <c r="A43" s="828" t="s">
        <v>356</v>
      </c>
      <c r="B43" s="827">
        <f>'Earned Incurred YTD-6'!B33</f>
        <v>33141.47</v>
      </c>
      <c r="C43" s="589">
        <v>0</v>
      </c>
      <c r="D43" s="589">
        <v>0</v>
      </c>
      <c r="E43" s="589">
        <v>0</v>
      </c>
      <c r="F43" s="589">
        <v>0</v>
      </c>
      <c r="G43" s="827">
        <f>SUM(B43:F43)</f>
        <v>33141.47</v>
      </c>
    </row>
    <row r="44" spans="1:7" s="775" customFormat="1" ht="15" customHeight="1" thickBot="1">
      <c r="A44" s="838" t="s">
        <v>335</v>
      </c>
      <c r="B44" s="829">
        <f>SUM(B39:B43)-1</f>
        <v>7760605.75</v>
      </c>
      <c r="C44" s="829">
        <f>SUM(C39:C43)</f>
        <v>1522366.2000000002</v>
      </c>
      <c r="D44" s="829">
        <f>SUM(D39:D43)</f>
        <v>132031.63</v>
      </c>
      <c r="E44" s="829">
        <f>SUM(E39:E43)</f>
        <v>62457.95</v>
      </c>
      <c r="F44" s="829">
        <f>SUM(F39:F43)</f>
        <v>247943.03</v>
      </c>
      <c r="G44" s="830">
        <f>SUM(G39:G43)</f>
        <v>9725404.559999999</v>
      </c>
    </row>
    <row r="45" spans="1:7" s="775" customFormat="1" ht="15" customHeight="1" thickTop="1">
      <c r="A45" s="828"/>
      <c r="B45" s="831"/>
      <c r="C45" s="831"/>
      <c r="D45" s="831"/>
      <c r="E45" s="827"/>
      <c r="F45" s="827"/>
      <c r="G45" s="827"/>
    </row>
    <row r="46" spans="1:7" s="775" customFormat="1" ht="15" customHeight="1">
      <c r="A46" s="836" t="s">
        <v>148</v>
      </c>
      <c r="B46" s="837"/>
      <c r="C46" s="837"/>
      <c r="D46" s="837"/>
      <c r="E46" s="827"/>
      <c r="F46" s="827"/>
      <c r="G46" s="827"/>
    </row>
    <row r="47" spans="1:7" s="775" customFormat="1" ht="15" customHeight="1">
      <c r="A47" s="828" t="s">
        <v>310</v>
      </c>
      <c r="B47" s="827">
        <f>'Premiums YTD-8'!B24</f>
        <v>0</v>
      </c>
      <c r="C47" s="827">
        <f>'Premiums YTD-8'!C24</f>
        <v>7152001</v>
      </c>
      <c r="D47" s="827">
        <f>'Premiums YTD-8'!D24</f>
        <v>0</v>
      </c>
      <c r="E47" s="827">
        <f>'Premiums YTD-8'!E24</f>
        <v>0</v>
      </c>
      <c r="F47" s="827">
        <f>'Premiums YTD-8'!F24</f>
        <v>0</v>
      </c>
      <c r="G47" s="827">
        <f aca="true" t="shared" si="3" ref="G47:G52">SUM(B47:F47)</f>
        <v>7152001</v>
      </c>
    </row>
    <row r="48" spans="1:7" s="775" customFormat="1" ht="15" customHeight="1">
      <c r="A48" s="828" t="s">
        <v>353</v>
      </c>
      <c r="B48" s="827">
        <f>'Losses Incurred YTD-10'!B31</f>
        <v>0</v>
      </c>
      <c r="C48" s="827">
        <f>'Losses Incurred YTD-10'!C31</f>
        <v>2357246</v>
      </c>
      <c r="D48" s="827">
        <f>'Losses Incurred YTD-10'!D31</f>
        <v>670061</v>
      </c>
      <c r="E48" s="827">
        <f>'Losses Incurred YTD-10'!E31</f>
        <v>98500</v>
      </c>
      <c r="F48" s="827">
        <f>'Losses Incurred YTD-10'!F31</f>
        <v>119981</v>
      </c>
      <c r="G48" s="827">
        <f t="shared" si="3"/>
        <v>3245788</v>
      </c>
    </row>
    <row r="49" spans="1:7" s="775" customFormat="1" ht="15" customHeight="1">
      <c r="A49" s="828" t="s">
        <v>357</v>
      </c>
      <c r="B49" s="827">
        <f>'Loss Expenses YTD-12'!B24</f>
        <v>0</v>
      </c>
      <c r="C49" s="827">
        <f>'Loss Expenses YTD-12'!C24</f>
        <v>261646</v>
      </c>
      <c r="D49" s="827">
        <f>'Loss Expenses YTD-12'!D24</f>
        <v>126156</v>
      </c>
      <c r="E49" s="827">
        <f>'Loss Expenses YTD-12'!E24</f>
        <v>30075</v>
      </c>
      <c r="F49" s="827">
        <f>'Loss Expenses YTD-12'!F24</f>
        <v>16110</v>
      </c>
      <c r="G49" s="827">
        <f t="shared" si="3"/>
        <v>433987</v>
      </c>
    </row>
    <row r="50" spans="1:7" s="775" customFormat="1" ht="15" customHeight="1">
      <c r="A50" s="828" t="s">
        <v>355</v>
      </c>
      <c r="B50" s="589">
        <v>0</v>
      </c>
      <c r="C50" s="827">
        <f>'Earned Incurred YTD-6'!B42</f>
        <v>175045</v>
      </c>
      <c r="D50" s="589">
        <v>0</v>
      </c>
      <c r="E50" s="589">
        <v>0</v>
      </c>
      <c r="F50" s="589">
        <v>0</v>
      </c>
      <c r="G50" s="827">
        <f t="shared" si="3"/>
        <v>175045</v>
      </c>
    </row>
    <row r="51" spans="1:7" s="775" customFormat="1" ht="15" customHeight="1">
      <c r="A51" s="828" t="s">
        <v>356</v>
      </c>
      <c r="B51" s="589">
        <v>0</v>
      </c>
      <c r="C51" s="827">
        <f>'Earned Incurred YTD-6'!B34</f>
        <v>40035</v>
      </c>
      <c r="D51" s="589">
        <v>0</v>
      </c>
      <c r="E51" s="589">
        <v>0</v>
      </c>
      <c r="F51" s="589">
        <v>0</v>
      </c>
      <c r="G51" s="827">
        <f t="shared" si="3"/>
        <v>40035</v>
      </c>
    </row>
    <row r="52" spans="1:7" s="775" customFormat="1" ht="15" customHeight="1" thickBot="1">
      <c r="A52" s="828" t="s">
        <v>335</v>
      </c>
      <c r="B52" s="829">
        <f>SUM(B47:B51)</f>
        <v>0</v>
      </c>
      <c r="C52" s="829">
        <f>SUM(C47:C51)</f>
        <v>9985973</v>
      </c>
      <c r="D52" s="829">
        <f>SUM(D47:D51)</f>
        <v>796217</v>
      </c>
      <c r="E52" s="829">
        <f>SUM(E47:E51)</f>
        <v>128575</v>
      </c>
      <c r="F52" s="829">
        <f>SUM(F47:F51)</f>
        <v>136091</v>
      </c>
      <c r="G52" s="830">
        <f t="shared" si="3"/>
        <v>11046856</v>
      </c>
    </row>
    <row r="53" spans="1:7" s="775" customFormat="1" ht="15" customHeight="1" thickTop="1">
      <c r="A53" s="828"/>
      <c r="B53" s="831"/>
      <c r="C53" s="831"/>
      <c r="D53" s="831"/>
      <c r="E53" s="831"/>
      <c r="F53" s="831"/>
      <c r="G53" s="485"/>
    </row>
    <row r="54" spans="1:8" s="775" customFormat="1" ht="15" customHeight="1" thickBot="1">
      <c r="A54" s="834" t="s">
        <v>358</v>
      </c>
      <c r="B54" s="929">
        <f>B36-B44+B52-1</f>
        <v>-3534893.469999998</v>
      </c>
      <c r="C54" s="929">
        <f>C36-C44+C52+1</f>
        <v>4427877.4</v>
      </c>
      <c r="D54" s="929">
        <f>D36-D44+D52-1</f>
        <v>254613.75</v>
      </c>
      <c r="E54" s="929">
        <f>E36-E44+E52</f>
        <v>16534.73999999999</v>
      </c>
      <c r="F54" s="929">
        <f>F36-F44+F52</f>
        <v>-88328.48999999999</v>
      </c>
      <c r="G54" s="929">
        <f>G36-G44+G52</f>
        <v>1075805.9300000034</v>
      </c>
      <c r="H54" s="779"/>
    </row>
    <row r="55" spans="1:8" s="775" customFormat="1" ht="15" customHeight="1" thickTop="1">
      <c r="A55" s="778"/>
      <c r="B55" s="779"/>
      <c r="C55" s="779"/>
      <c r="D55" s="801"/>
      <c r="E55" s="801"/>
      <c r="F55" s="801"/>
      <c r="G55" s="774"/>
      <c r="H55" s="779"/>
    </row>
    <row r="56" spans="1:9" s="775" customFormat="1" ht="15" customHeight="1">
      <c r="A56" s="778"/>
      <c r="B56" s="779"/>
      <c r="C56" s="779"/>
      <c r="D56" s="801"/>
      <c r="E56" s="801"/>
      <c r="F56" s="801"/>
      <c r="G56" s="774"/>
      <c r="I56" s="779"/>
    </row>
    <row r="57" spans="1:7" s="775" customFormat="1" ht="15" customHeight="1">
      <c r="A57" s="778"/>
      <c r="B57" s="779"/>
      <c r="C57" s="779"/>
      <c r="D57" s="801"/>
      <c r="E57" s="801"/>
      <c r="F57" s="801"/>
      <c r="G57" s="801"/>
    </row>
    <row r="58" spans="2:7" s="775" customFormat="1" ht="15" customHeight="1">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1:7" s="775" customFormat="1" ht="15" customHeight="1">
      <c r="A61" s="777"/>
      <c r="B61" s="802"/>
      <c r="C61" s="802"/>
      <c r="D61" s="801"/>
      <c r="E61" s="801"/>
      <c r="F61" s="801"/>
      <c r="G61" s="801"/>
    </row>
    <row r="62" spans="2:7" s="775" customFormat="1" ht="15" customHeight="1">
      <c r="B62" s="779"/>
      <c r="C62" s="779"/>
      <c r="D62" s="801"/>
      <c r="E62" s="801"/>
      <c r="F62" s="801"/>
      <c r="G62" s="774"/>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8" t="s">
        <v>297</v>
      </c>
      <c r="B1" s="999"/>
      <c r="C1" s="999"/>
      <c r="D1" s="1000"/>
      <c r="E1" s="769"/>
    </row>
    <row r="2" spans="1:5" s="45" customFormat="1" ht="15" customHeight="1">
      <c r="A2" s="1001"/>
      <c r="B2" s="1002"/>
      <c r="C2" s="1002"/>
      <c r="D2" s="1003"/>
      <c r="E2" s="770"/>
    </row>
    <row r="3" spans="1:5" s="45" customFormat="1" ht="15" customHeight="1">
      <c r="A3" s="995" t="s">
        <v>260</v>
      </c>
      <c r="B3" s="996"/>
      <c r="C3" s="996"/>
      <c r="D3" s="997"/>
      <c r="E3" s="770"/>
    </row>
    <row r="4" spans="1:5" s="45" customFormat="1" ht="15" customHeight="1">
      <c r="A4" s="995" t="s">
        <v>359</v>
      </c>
      <c r="B4" s="996"/>
      <c r="C4" s="996"/>
      <c r="D4" s="997"/>
      <c r="E4" s="770"/>
    </row>
    <row r="5" spans="1:5" s="45" customFormat="1" ht="15" customHeight="1">
      <c r="A5" s="995" t="s">
        <v>483</v>
      </c>
      <c r="B5" s="996"/>
      <c r="C5" s="996"/>
      <c r="D5" s="997"/>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360</v>
      </c>
      <c r="B8" s="879" t="s">
        <v>485</v>
      </c>
      <c r="C8" s="935"/>
      <c r="D8" s="881"/>
      <c r="E8" s="127"/>
    </row>
    <row r="9" spans="1:5" s="18" customFormat="1" ht="15" customHeight="1">
      <c r="A9" s="407"/>
      <c r="B9" s="882" t="s">
        <v>250</v>
      </c>
      <c r="C9" s="883"/>
      <c r="D9" s="884"/>
      <c r="E9" s="127"/>
    </row>
    <row r="10" spans="1:5" s="18" customFormat="1" ht="15" customHeight="1">
      <c r="A10" s="408"/>
      <c r="B10" s="790" t="s">
        <v>307</v>
      </c>
      <c r="C10" s="791"/>
      <c r="D10" s="897"/>
      <c r="E10" s="127"/>
    </row>
    <row r="11" spans="1:5" s="18" customFormat="1" ht="15" customHeight="1">
      <c r="A11" s="409" t="s">
        <v>361</v>
      </c>
      <c r="B11" s="509"/>
      <c r="C11" s="477">
        <f>'Premiums QTD-7'!G12</f>
        <v>3357455</v>
      </c>
      <c r="D11" s="897"/>
      <c r="E11" s="127"/>
    </row>
    <row r="12" spans="1:5" s="18" customFormat="1" ht="15" customHeight="1">
      <c r="A12" s="409"/>
      <c r="B12" s="509"/>
      <c r="C12" s="485"/>
      <c r="D12" s="897"/>
      <c r="E12" s="127"/>
    </row>
    <row r="13" spans="1:5" s="18" customFormat="1" ht="15" customHeight="1">
      <c r="A13" s="410" t="s">
        <v>362</v>
      </c>
      <c r="B13" s="509">
        <f>'Premiums QTD-7'!G18</f>
        <v>6621494.71</v>
      </c>
      <c r="C13" s="122"/>
      <c r="D13" s="897"/>
      <c r="E13" s="127"/>
    </row>
    <row r="14" spans="1:5" s="18" customFormat="1" ht="15" customHeight="1">
      <c r="A14" s="410" t="s">
        <v>381</v>
      </c>
      <c r="B14" s="511">
        <f>'Premiums QTD-7'!G24</f>
        <v>6636419.08</v>
      </c>
      <c r="C14" s="122"/>
      <c r="D14" s="897"/>
      <c r="E14" s="127"/>
    </row>
    <row r="15" spans="1:5" s="18" customFormat="1" ht="15" customHeight="1">
      <c r="A15" s="410" t="s">
        <v>382</v>
      </c>
      <c r="B15" s="509"/>
      <c r="C15" s="512">
        <f>B14-B13</f>
        <v>14924.370000000112</v>
      </c>
      <c r="D15" s="897"/>
      <c r="E15" s="127"/>
    </row>
    <row r="16" spans="1:5" s="18" customFormat="1" ht="15" customHeight="1">
      <c r="A16" s="409" t="s">
        <v>383</v>
      </c>
      <c r="B16" s="509"/>
      <c r="C16" s="122"/>
      <c r="D16" s="899">
        <f>C11+C15</f>
        <v>3372379.37</v>
      </c>
      <c r="E16" s="127"/>
    </row>
    <row r="17" spans="1:4" s="18" customFormat="1" ht="15" customHeight="1">
      <c r="A17" s="410" t="s">
        <v>384</v>
      </c>
      <c r="B17" s="509"/>
      <c r="C17" s="122">
        <f>'[7]Loss Expenses Paid QTD-15'!E42</f>
        <v>1834275.58</v>
      </c>
      <c r="D17" s="897"/>
    </row>
    <row r="18" spans="1:4" s="18" customFormat="1" ht="15" customHeight="1">
      <c r="A18" s="410" t="s">
        <v>123</v>
      </c>
      <c r="B18" s="509"/>
      <c r="C18" s="512">
        <f>-'[7]Trial Balance'!D295</f>
        <v>20054.68</v>
      </c>
      <c r="D18" s="897"/>
    </row>
    <row r="19" spans="1:5" s="18" customFormat="1" ht="15" customHeight="1">
      <c r="A19" s="409" t="s">
        <v>386</v>
      </c>
      <c r="B19" s="509"/>
      <c r="C19" s="122">
        <f>C17-C18</f>
        <v>1814220.9000000001</v>
      </c>
      <c r="D19" s="897"/>
      <c r="E19" s="127"/>
    </row>
    <row r="20" spans="1:5" s="18" customFormat="1" ht="15" customHeight="1">
      <c r="A20" s="410" t="s">
        <v>387</v>
      </c>
      <c r="B20" s="509">
        <f>'Losses Incurred QTD-9'!G18+'Losses Incurred QTD-9'!G24</f>
        <v>2500260.9400000004</v>
      </c>
      <c r="C20" s="122" t="s">
        <v>307</v>
      </c>
      <c r="D20" s="897"/>
      <c r="E20" s="127"/>
    </row>
    <row r="21" spans="1:5" s="18" customFormat="1" ht="15" customHeight="1">
      <c r="A21" s="410" t="s">
        <v>388</v>
      </c>
      <c r="B21" s="511">
        <f>'Losses Incurred QTD-9'!G31</f>
        <v>2369378.24</v>
      </c>
      <c r="C21" s="122"/>
      <c r="D21" s="897"/>
      <c r="E21" s="127"/>
    </row>
    <row r="22" spans="1:5" s="18" customFormat="1" ht="15" customHeight="1">
      <c r="A22" s="410" t="s">
        <v>389</v>
      </c>
      <c r="B22" s="514"/>
      <c r="C22" s="918">
        <f>B20-B21</f>
        <v>130882.70000000019</v>
      </c>
      <c r="D22" s="897"/>
      <c r="E22" s="127"/>
    </row>
    <row r="23" spans="1:6" s="18" customFormat="1" ht="15" customHeight="1">
      <c r="A23" s="409" t="s">
        <v>390</v>
      </c>
      <c r="B23" s="509"/>
      <c r="C23" s="122"/>
      <c r="D23" s="897">
        <f>C19+C22</f>
        <v>1945103.6000000003</v>
      </c>
      <c r="E23" s="122"/>
      <c r="F23" s="114"/>
    </row>
    <row r="24" spans="1:5" s="18" customFormat="1" ht="15" customHeight="1">
      <c r="A24" s="410" t="s">
        <v>391</v>
      </c>
      <c r="B24" s="509"/>
      <c r="C24" s="122">
        <f>'[7]Loss Expenses Paid QTD-15'!C42</f>
        <v>149894.03</v>
      </c>
      <c r="D24" s="897"/>
      <c r="E24" s="334"/>
    </row>
    <row r="25" spans="1:5" s="18" customFormat="1" ht="15" customHeight="1">
      <c r="A25" s="410" t="s">
        <v>392</v>
      </c>
      <c r="B25" s="509"/>
      <c r="C25" s="512">
        <f>'[7]Loss Expenses Paid QTD-15'!I42</f>
        <v>140803.87</v>
      </c>
      <c r="D25" s="897"/>
      <c r="E25" s="334"/>
    </row>
    <row r="26" spans="1:5" s="18" customFormat="1" ht="15" customHeight="1">
      <c r="A26" s="409" t="s">
        <v>393</v>
      </c>
      <c r="B26" s="509"/>
      <c r="C26" s="122">
        <f>C24+C25</f>
        <v>290697.9</v>
      </c>
      <c r="D26" s="897"/>
      <c r="E26" s="122"/>
    </row>
    <row r="27" spans="1:5" s="18" customFormat="1" ht="15" customHeight="1">
      <c r="A27" s="410" t="s">
        <v>394</v>
      </c>
      <c r="B27" s="509">
        <f>'Loss Expenses QTD-11'!G18</f>
        <v>354045.54</v>
      </c>
      <c r="C27" s="122"/>
      <c r="D27" s="897"/>
      <c r="E27" s="334"/>
    </row>
    <row r="28" spans="1:5" s="18" customFormat="1" ht="15" customHeight="1">
      <c r="A28" s="410" t="s">
        <v>395</v>
      </c>
      <c r="B28" s="511">
        <f>'Loss Expenses QTD-11'!G24</f>
        <v>337249.54</v>
      </c>
      <c r="C28" s="122"/>
      <c r="D28" s="897"/>
      <c r="E28" s="122"/>
    </row>
    <row r="29" spans="1:7" s="18" customFormat="1" ht="15" customHeight="1">
      <c r="A29" s="410" t="s">
        <v>396</v>
      </c>
      <c r="B29" s="509"/>
      <c r="C29" s="918">
        <f>B27-B28</f>
        <v>16796</v>
      </c>
      <c r="D29" s="897"/>
      <c r="E29" s="334"/>
      <c r="G29" s="114"/>
    </row>
    <row r="30" spans="1:6" s="18" customFormat="1" ht="15" customHeight="1">
      <c r="A30" s="409" t="s">
        <v>397</v>
      </c>
      <c r="B30" s="509"/>
      <c r="C30" s="122"/>
      <c r="D30" s="898">
        <f>C26+C29</f>
        <v>307493.9</v>
      </c>
      <c r="E30" s="122"/>
      <c r="F30" s="114"/>
    </row>
    <row r="31" spans="1:6" s="18" customFormat="1" ht="15" customHeight="1">
      <c r="A31" s="409" t="s">
        <v>398</v>
      </c>
      <c r="B31" s="509"/>
      <c r="C31" s="122"/>
      <c r="D31" s="944">
        <f>D23+D30</f>
        <v>2252597.5000000005</v>
      </c>
      <c r="E31" s="122"/>
      <c r="F31" s="114"/>
    </row>
    <row r="32" spans="1:6" s="18" customFormat="1" ht="15" customHeight="1">
      <c r="A32" s="410" t="s">
        <v>399</v>
      </c>
      <c r="B32" s="509"/>
      <c r="C32" s="908">
        <f>'[7]Trial Balance'!E447+'[7]Trial Balance'!E448+-1800</f>
        <v>-5355.35</v>
      </c>
      <c r="D32" s="897"/>
      <c r="E32" s="334"/>
      <c r="F32" s="114"/>
    </row>
    <row r="33" spans="1:7" s="18" customFormat="1" ht="15" customHeight="1">
      <c r="A33" s="410" t="s">
        <v>400</v>
      </c>
      <c r="B33" s="509">
        <f>'Earned Incurred YTD-6'!B33</f>
        <v>33141.47</v>
      </c>
      <c r="C33" s="122"/>
      <c r="D33" s="897"/>
      <c r="E33" s="127"/>
      <c r="G33" s="114"/>
    </row>
    <row r="34" spans="1:7" s="18" customFormat="1" ht="15" customHeight="1">
      <c r="A34" s="410" t="s">
        <v>401</v>
      </c>
      <c r="B34" s="511">
        <v>17092</v>
      </c>
      <c r="C34" s="122"/>
      <c r="D34" s="897"/>
      <c r="E34" s="127"/>
      <c r="G34" s="114"/>
    </row>
    <row r="35" spans="1:5" s="18" customFormat="1" ht="15" customHeight="1">
      <c r="A35" s="410" t="s">
        <v>106</v>
      </c>
      <c r="B35" s="509"/>
      <c r="C35" s="918">
        <f>B33-B34</f>
        <v>16049.470000000001</v>
      </c>
      <c r="D35" s="897"/>
      <c r="E35" s="127"/>
    </row>
    <row r="36" spans="1:6" s="18" customFormat="1" ht="15" customHeight="1">
      <c r="A36" s="409" t="s">
        <v>107</v>
      </c>
      <c r="B36" s="509"/>
      <c r="C36" s="122" t="s">
        <v>307</v>
      </c>
      <c r="D36" s="897">
        <f>C32+C35</f>
        <v>10694.12</v>
      </c>
      <c r="E36" s="127"/>
      <c r="F36" s="114"/>
    </row>
    <row r="37" spans="1:5" s="18" customFormat="1" ht="15" customHeight="1">
      <c r="A37" s="410" t="s">
        <v>35</v>
      </c>
      <c r="B37" s="509"/>
      <c r="C37" s="122">
        <f>'[7]Trial Balance'!D431</f>
        <v>298645.75</v>
      </c>
      <c r="D37" s="897"/>
      <c r="E37" s="127"/>
    </row>
    <row r="38" spans="1:5" s="18" customFormat="1" ht="15" customHeight="1">
      <c r="A38" s="410" t="s">
        <v>14</v>
      </c>
      <c r="B38" s="509"/>
      <c r="C38" s="122">
        <f>'[7]Trial Balance'!D442</f>
        <v>66299.93</v>
      </c>
      <c r="D38" s="897"/>
      <c r="E38" s="771"/>
    </row>
    <row r="39" spans="1:6" s="18" customFormat="1" ht="15" customHeight="1">
      <c r="A39" s="410" t="s">
        <v>192</v>
      </c>
      <c r="B39" s="509"/>
      <c r="C39" s="512">
        <f>'[7]Trial Balance'!D776-C43+2</f>
        <v>980760.9400000002</v>
      </c>
      <c r="D39" s="897"/>
      <c r="E39" s="771"/>
      <c r="F39" s="127"/>
    </row>
    <row r="40" spans="1:6" s="18" customFormat="1" ht="15" customHeight="1">
      <c r="A40" s="409" t="s">
        <v>193</v>
      </c>
      <c r="B40" s="509"/>
      <c r="C40" s="122">
        <f>SUM(C37:C39)</f>
        <v>1345706.62</v>
      </c>
      <c r="D40" s="897"/>
      <c r="E40" s="771"/>
      <c r="F40" s="127"/>
    </row>
    <row r="41" spans="1:5" s="18" customFormat="1" ht="15" customHeight="1">
      <c r="A41" s="410" t="s">
        <v>400</v>
      </c>
      <c r="B41" s="509">
        <f>'Earned Incurred YTD-6'!B41</f>
        <v>216461.9</v>
      </c>
      <c r="C41" s="122"/>
      <c r="D41" s="897"/>
      <c r="E41" s="771"/>
    </row>
    <row r="42" spans="1:5" s="18" customFormat="1" ht="15" customHeight="1">
      <c r="A42" s="410" t="s">
        <v>401</v>
      </c>
      <c r="B42" s="511">
        <v>178227</v>
      </c>
      <c r="C42" s="122" t="s">
        <v>307</v>
      </c>
      <c r="D42" s="897"/>
      <c r="E42" s="127"/>
    </row>
    <row r="43" spans="1:5" s="18" customFormat="1" ht="15" customHeight="1">
      <c r="A43" s="410" t="s">
        <v>194</v>
      </c>
      <c r="B43" s="509"/>
      <c r="C43" s="918">
        <f>+B41-B42</f>
        <v>38234.899999999994</v>
      </c>
      <c r="D43" s="897"/>
      <c r="E43" s="127"/>
    </row>
    <row r="44" spans="1:6" s="18" customFormat="1" ht="15" customHeight="1">
      <c r="A44" s="409" t="s">
        <v>261</v>
      </c>
      <c r="B44" s="509"/>
      <c r="C44" s="122"/>
      <c r="D44" s="898">
        <f>SUM(C40:C43)</f>
        <v>1383941.52</v>
      </c>
      <c r="E44" s="127"/>
      <c r="F44" s="127"/>
    </row>
    <row r="45" spans="1:6" s="18" customFormat="1" ht="15" customHeight="1">
      <c r="A45" s="409" t="s">
        <v>195</v>
      </c>
      <c r="B45" s="509"/>
      <c r="C45" s="122"/>
      <c r="D45" s="901">
        <f>SUM(D36:D44)</f>
        <v>1394635.6400000001</v>
      </c>
      <c r="E45" s="127"/>
      <c r="F45" s="120"/>
    </row>
    <row r="46" spans="1:6" s="18" customFormat="1" ht="15" customHeight="1">
      <c r="A46" s="409" t="s">
        <v>196</v>
      </c>
      <c r="B46" s="509"/>
      <c r="C46" s="122"/>
      <c r="D46" s="899">
        <f>+D31+D45+1</f>
        <v>3647234.1400000006</v>
      </c>
      <c r="E46" s="127"/>
      <c r="F46" s="120"/>
    </row>
    <row r="47" spans="1:6" s="18" customFormat="1" ht="15" customHeight="1">
      <c r="A47" s="409" t="s">
        <v>495</v>
      </c>
      <c r="B47" s="509"/>
      <c r="C47" s="122"/>
      <c r="D47" s="944">
        <f>D16-D31-D45-1</f>
        <v>-274854.7700000005</v>
      </c>
      <c r="E47" s="48"/>
      <c r="F47" s="127"/>
    </row>
    <row r="48" spans="1:6" s="18" customFormat="1" ht="15" customHeight="1">
      <c r="A48" s="410" t="s">
        <v>243</v>
      </c>
      <c r="B48" s="509"/>
      <c r="C48" s="122">
        <f>-'[7]Trial Balance'!D264-C51</f>
        <v>49672.45999999999</v>
      </c>
      <c r="D48" s="897"/>
      <c r="E48" s="114"/>
      <c r="F48" s="114"/>
    </row>
    <row r="49" spans="1:5" s="18" customFormat="1" ht="15" customHeight="1">
      <c r="A49" s="410" t="s">
        <v>417</v>
      </c>
      <c r="B49" s="509">
        <f>'Earned Incurred YTD-6'!B49</f>
        <v>32055.81</v>
      </c>
      <c r="C49" s="122"/>
      <c r="D49" s="897"/>
      <c r="E49" s="127"/>
    </row>
    <row r="50" spans="1:5" s="18" customFormat="1" ht="15" customHeight="1">
      <c r="A50" s="410" t="s">
        <v>418</v>
      </c>
      <c r="B50" s="511">
        <v>42678</v>
      </c>
      <c r="C50" s="122"/>
      <c r="D50" s="897"/>
      <c r="E50" s="127"/>
    </row>
    <row r="51" spans="1:5" s="18" customFormat="1" ht="15" customHeight="1">
      <c r="A51" s="410" t="s">
        <v>419</v>
      </c>
      <c r="B51" s="509"/>
      <c r="C51" s="918">
        <f>B49-B50</f>
        <v>-10622.189999999999</v>
      </c>
      <c r="D51" s="897"/>
      <c r="E51" s="127"/>
    </row>
    <row r="52" spans="1:5" s="18" customFormat="1" ht="15" customHeight="1">
      <c r="A52" s="409" t="s">
        <v>244</v>
      </c>
      <c r="B52" s="509"/>
      <c r="C52" s="122"/>
      <c r="D52" s="898">
        <f>C48+C51</f>
        <v>39050.26999999999</v>
      </c>
      <c r="E52" s="127"/>
    </row>
    <row r="53" spans="1:6" s="18" customFormat="1" ht="15" customHeight="1">
      <c r="A53" s="411"/>
      <c r="B53" s="509"/>
      <c r="C53" s="122"/>
      <c r="D53" s="897"/>
      <c r="E53" s="127"/>
      <c r="F53" s="114"/>
    </row>
    <row r="54" spans="1:6" s="18" customFormat="1" ht="15" customHeight="1">
      <c r="A54" s="412" t="s">
        <v>496</v>
      </c>
      <c r="B54" s="511"/>
      <c r="C54" s="512"/>
      <c r="D54" s="945">
        <f>D47+D52</f>
        <v>-235804.5000000005</v>
      </c>
      <c r="E54" s="48"/>
      <c r="F54" s="340"/>
    </row>
    <row r="55" spans="1:5" s="18" customFormat="1" ht="15" customHeight="1">
      <c r="A55" s="413"/>
      <c r="B55" s="793"/>
      <c r="C55" s="793"/>
      <c r="D55" s="903"/>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8" t="s">
        <v>297</v>
      </c>
      <c r="B1" s="999"/>
      <c r="C1" s="999"/>
      <c r="D1" s="1000"/>
      <c r="E1" s="769"/>
    </row>
    <row r="2" spans="1:5" s="45" customFormat="1" ht="15" customHeight="1">
      <c r="A2" s="1001"/>
      <c r="B2" s="1002"/>
      <c r="C2" s="1002"/>
      <c r="D2" s="1003"/>
      <c r="E2" s="770"/>
    </row>
    <row r="3" spans="1:5" s="45" customFormat="1" ht="15" customHeight="1">
      <c r="A3" s="995" t="s">
        <v>260</v>
      </c>
      <c r="B3" s="996"/>
      <c r="C3" s="996"/>
      <c r="D3" s="997"/>
      <c r="E3" s="770"/>
    </row>
    <row r="4" spans="1:5" s="45" customFormat="1" ht="15" customHeight="1">
      <c r="A4" s="995" t="s">
        <v>359</v>
      </c>
      <c r="B4" s="996"/>
      <c r="C4" s="996"/>
      <c r="D4" s="997"/>
      <c r="E4" s="770"/>
    </row>
    <row r="5" spans="1:5" s="45" customFormat="1" ht="15" customHeight="1">
      <c r="A5" s="995" t="s">
        <v>484</v>
      </c>
      <c r="B5" s="996"/>
      <c r="C5" s="996"/>
      <c r="D5" s="997"/>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360</v>
      </c>
      <c r="B8" s="879" t="s">
        <v>485</v>
      </c>
      <c r="C8" s="880"/>
      <c r="D8" s="881"/>
      <c r="E8" s="127"/>
    </row>
    <row r="9" spans="1:5" s="18" customFormat="1" ht="15" customHeight="1">
      <c r="A9" s="407"/>
      <c r="B9" s="882" t="s">
        <v>65</v>
      </c>
      <c r="C9" s="883"/>
      <c r="D9" s="884"/>
      <c r="E9" s="127"/>
    </row>
    <row r="10" spans="1:5" s="18" customFormat="1" ht="15" customHeight="1">
      <c r="A10" s="408"/>
      <c r="B10" s="790" t="s">
        <v>307</v>
      </c>
      <c r="C10" s="791"/>
      <c r="D10" s="897"/>
      <c r="E10" s="127"/>
    </row>
    <row r="11" spans="1:5" s="18" customFormat="1" ht="15" customHeight="1">
      <c r="A11" s="409" t="s">
        <v>361</v>
      </c>
      <c r="B11" s="509"/>
      <c r="C11" s="477">
        <f>'Premiums YTD-8'!G12</f>
        <v>9798983</v>
      </c>
      <c r="D11" s="897"/>
      <c r="E11" s="127"/>
    </row>
    <row r="12" spans="1:5" s="18" customFormat="1" ht="15" customHeight="1">
      <c r="A12" s="409"/>
      <c r="B12" s="509"/>
      <c r="C12" s="485"/>
      <c r="D12" s="897"/>
      <c r="E12" s="127"/>
    </row>
    <row r="13" spans="1:5" s="18" customFormat="1" ht="15" customHeight="1">
      <c r="A13" s="410" t="s">
        <v>362</v>
      </c>
      <c r="B13" s="509">
        <f>'Premiums YTD-8'!G18</f>
        <v>6621494.71</v>
      </c>
      <c r="C13" s="122"/>
      <c r="D13" s="897"/>
      <c r="E13" s="127"/>
    </row>
    <row r="14" spans="1:5" s="18" customFormat="1" ht="15" customHeight="1">
      <c r="A14" s="410" t="s">
        <v>381</v>
      </c>
      <c r="B14" s="511">
        <f>'Premiums YTD-8'!G24</f>
        <v>7152001</v>
      </c>
      <c r="C14" s="122"/>
      <c r="D14" s="897"/>
      <c r="E14" s="127"/>
    </row>
    <row r="15" spans="1:5" s="18" customFormat="1" ht="15" customHeight="1">
      <c r="A15" s="410" t="s">
        <v>382</v>
      </c>
      <c r="B15" s="509"/>
      <c r="C15" s="512">
        <f>B14-B13</f>
        <v>530506.29</v>
      </c>
      <c r="D15" s="897"/>
      <c r="E15" s="127"/>
    </row>
    <row r="16" spans="1:5" s="18" customFormat="1" ht="15" customHeight="1">
      <c r="A16" s="409" t="s">
        <v>383</v>
      </c>
      <c r="B16" s="509"/>
      <c r="C16" s="122"/>
      <c r="D16" s="899">
        <f>C11+C15</f>
        <v>10329489.29</v>
      </c>
      <c r="E16" s="127"/>
    </row>
    <row r="17" spans="1:4" s="18" customFormat="1" ht="15" customHeight="1">
      <c r="A17" s="410" t="s">
        <v>384</v>
      </c>
      <c r="B17" s="509"/>
      <c r="C17" s="122">
        <f>'[7]Loss Expenses Paid YTD-16'!E42</f>
        <v>5630103.6899999995</v>
      </c>
      <c r="D17" s="897"/>
    </row>
    <row r="18" spans="1:4" s="18" customFormat="1" ht="15" customHeight="1">
      <c r="A18" s="410" t="s">
        <v>123</v>
      </c>
      <c r="B18" s="509"/>
      <c r="C18" s="512">
        <f>-'[7]Trial Balance'!F295</f>
        <v>98376.75</v>
      </c>
      <c r="D18" s="897"/>
    </row>
    <row r="19" spans="1:5" s="18" customFormat="1" ht="15" customHeight="1">
      <c r="A19" s="409" t="s">
        <v>386</v>
      </c>
      <c r="B19" s="509"/>
      <c r="C19" s="122">
        <f>C17-C18</f>
        <v>5531726.9399999995</v>
      </c>
      <c r="D19" s="897"/>
      <c r="E19" s="127"/>
    </row>
    <row r="20" spans="1:5" s="18" customFormat="1" ht="15" customHeight="1">
      <c r="A20" s="410" t="s">
        <v>387</v>
      </c>
      <c r="B20" s="509">
        <f>'Losses Incurred YTD-10'!G18+'Losses Incurred YTD-10'!G24</f>
        <v>2500260.9400000004</v>
      </c>
      <c r="C20" s="122" t="s">
        <v>307</v>
      </c>
      <c r="D20" s="897"/>
      <c r="E20" s="127"/>
    </row>
    <row r="21" spans="1:5" s="18" customFormat="1" ht="15" customHeight="1">
      <c r="A21" s="410" t="s">
        <v>388</v>
      </c>
      <c r="B21" s="511">
        <f>'Losses Incurred YTD-10'!G31</f>
        <v>3245788</v>
      </c>
      <c r="C21" s="122"/>
      <c r="D21" s="897"/>
      <c r="E21" s="127"/>
    </row>
    <row r="22" spans="1:5" s="18" customFormat="1" ht="15" customHeight="1">
      <c r="A22" s="410" t="s">
        <v>389</v>
      </c>
      <c r="B22" s="514"/>
      <c r="C22" s="918">
        <f>B20-B21</f>
        <v>-745527.0599999996</v>
      </c>
      <c r="D22" s="897"/>
      <c r="E22" s="127"/>
    </row>
    <row r="23" spans="1:6" s="18" customFormat="1" ht="15" customHeight="1">
      <c r="A23" s="409" t="s">
        <v>390</v>
      </c>
      <c r="B23" s="509"/>
      <c r="C23" s="122"/>
      <c r="D23" s="897">
        <f>C19+C22</f>
        <v>4786199.88</v>
      </c>
      <c r="E23" s="122"/>
      <c r="F23" s="114"/>
    </row>
    <row r="24" spans="1:5" s="18" customFormat="1" ht="15" customHeight="1">
      <c r="A24" s="410" t="s">
        <v>391</v>
      </c>
      <c r="B24" s="509"/>
      <c r="C24" s="122">
        <f>'[7]Loss Expenses Paid YTD-16'!C42</f>
        <v>448563.87</v>
      </c>
      <c r="D24" s="897"/>
      <c r="E24" s="334"/>
    </row>
    <row r="25" spans="1:5" s="18" customFormat="1" ht="15" customHeight="1">
      <c r="A25" s="410" t="s">
        <v>392</v>
      </c>
      <c r="B25" s="509"/>
      <c r="C25" s="512">
        <f>'[7]Loss Expenses Paid YTD-16'!I42</f>
        <v>438195.76999999996</v>
      </c>
      <c r="D25" s="897"/>
      <c r="E25" s="334"/>
    </row>
    <row r="26" spans="1:5" s="18" customFormat="1" ht="15" customHeight="1">
      <c r="A26" s="409" t="s">
        <v>393</v>
      </c>
      <c r="B26" s="509"/>
      <c r="C26" s="122">
        <f>C24+C25</f>
        <v>886759.6399999999</v>
      </c>
      <c r="D26" s="897"/>
      <c r="E26" s="122"/>
    </row>
    <row r="27" spans="1:5" s="18" customFormat="1" ht="15" customHeight="1">
      <c r="A27" s="410" t="s">
        <v>394</v>
      </c>
      <c r="B27" s="509">
        <f>'Loss Expenses YTD-12'!G18</f>
        <v>354045.54</v>
      </c>
      <c r="C27" s="122"/>
      <c r="D27" s="897"/>
      <c r="E27" s="334"/>
    </row>
    <row r="28" spans="1:5" s="18" customFormat="1" ht="15" customHeight="1">
      <c r="A28" s="410" t="s">
        <v>395</v>
      </c>
      <c r="B28" s="511">
        <f>'Loss Expenses YTD-12'!G24</f>
        <v>433987</v>
      </c>
      <c r="C28" s="122"/>
      <c r="D28" s="897"/>
      <c r="E28" s="122"/>
    </row>
    <row r="29" spans="1:7" s="18" customFormat="1" ht="15" customHeight="1">
      <c r="A29" s="410" t="s">
        <v>396</v>
      </c>
      <c r="B29" s="509"/>
      <c r="C29" s="918">
        <f>B27-B28</f>
        <v>-79941.46000000002</v>
      </c>
      <c r="D29" s="897"/>
      <c r="E29" s="334"/>
      <c r="G29" s="114"/>
    </row>
    <row r="30" spans="1:6" s="18" customFormat="1" ht="15" customHeight="1">
      <c r="A30" s="409" t="s">
        <v>397</v>
      </c>
      <c r="B30" s="509"/>
      <c r="C30" s="122"/>
      <c r="D30" s="898">
        <f>C26+C29+1</f>
        <v>806819.1799999999</v>
      </c>
      <c r="E30" s="122"/>
      <c r="F30" s="114"/>
    </row>
    <row r="31" spans="1:6" s="18" customFormat="1" ht="15" customHeight="1">
      <c r="A31" s="409" t="s">
        <v>398</v>
      </c>
      <c r="B31" s="509"/>
      <c r="C31" s="122"/>
      <c r="D31" s="900">
        <f>D23+D30</f>
        <v>5593019.06</v>
      </c>
      <c r="E31" s="122"/>
      <c r="F31" s="114"/>
    </row>
    <row r="32" spans="1:6" s="18" customFormat="1" ht="15" customHeight="1">
      <c r="A32" s="410" t="s">
        <v>399</v>
      </c>
      <c r="B32" s="509"/>
      <c r="C32" s="122">
        <f>19251.52+4474.57+9722.52+20250+'Earned Incurred QTD-5'!C32+1</f>
        <v>48344.26</v>
      </c>
      <c r="D32" s="897"/>
      <c r="E32" s="334"/>
      <c r="F32" s="114"/>
    </row>
    <row r="33" spans="1:7" s="18" customFormat="1" ht="15" customHeight="1">
      <c r="A33" s="410" t="s">
        <v>400</v>
      </c>
      <c r="B33" s="509">
        <f>-'[7]Trial Balance'!F140</f>
        <v>33141.47</v>
      </c>
      <c r="C33" s="122"/>
      <c r="D33" s="897"/>
      <c r="E33" s="127"/>
      <c r="G33" s="114"/>
    </row>
    <row r="34" spans="1:7" s="18" customFormat="1" ht="15" customHeight="1">
      <c r="A34" s="410" t="s">
        <v>401</v>
      </c>
      <c r="B34" s="511">
        <v>40035</v>
      </c>
      <c r="C34" s="122" t="s">
        <v>307</v>
      </c>
      <c r="D34" s="897"/>
      <c r="E34" s="127"/>
      <c r="G34" s="114"/>
    </row>
    <row r="35" spans="1:5" s="18" customFormat="1" ht="15" customHeight="1">
      <c r="A35" s="410" t="s">
        <v>106</v>
      </c>
      <c r="B35" s="509"/>
      <c r="C35" s="918">
        <f>B33-B34</f>
        <v>-6893.529999999999</v>
      </c>
      <c r="D35" s="897"/>
      <c r="E35" s="127"/>
    </row>
    <row r="36" spans="1:6" s="18" customFormat="1" ht="15" customHeight="1">
      <c r="A36" s="409" t="s">
        <v>107</v>
      </c>
      <c r="B36" s="509"/>
      <c r="C36" s="122" t="s">
        <v>307</v>
      </c>
      <c r="D36" s="897">
        <f>C32+C35-1</f>
        <v>41449.73</v>
      </c>
      <c r="E36" s="127"/>
      <c r="F36" s="114"/>
    </row>
    <row r="37" spans="1:5" s="18" customFormat="1" ht="15" customHeight="1">
      <c r="A37" s="410" t="s">
        <v>35</v>
      </c>
      <c r="B37" s="509"/>
      <c r="C37" s="122">
        <f>'[7]Trial Balance'!F431</f>
        <v>869150.3</v>
      </c>
      <c r="D37" s="897"/>
      <c r="E37" s="127"/>
    </row>
    <row r="38" spans="1:5" s="18" customFormat="1" ht="15" customHeight="1">
      <c r="A38" s="410" t="s">
        <v>14</v>
      </c>
      <c r="B38" s="509"/>
      <c r="C38" s="122">
        <f>'[7]Trial Balance'!F442</f>
        <v>152596.23</v>
      </c>
      <c r="D38" s="897"/>
      <c r="E38" s="771"/>
    </row>
    <row r="39" spans="1:6" s="18" customFormat="1" ht="15" customHeight="1">
      <c r="A39" s="410" t="s">
        <v>192</v>
      </c>
      <c r="B39" s="509"/>
      <c r="C39" s="512">
        <f>'[7]Trial Balance'!F776-C43+1</f>
        <v>2931786.029999998</v>
      </c>
      <c r="D39" s="897"/>
      <c r="E39" s="771"/>
      <c r="F39" s="127"/>
    </row>
    <row r="40" spans="1:6" s="18" customFormat="1" ht="15" customHeight="1">
      <c r="A40" s="409" t="s">
        <v>193</v>
      </c>
      <c r="B40" s="509"/>
      <c r="C40" s="122">
        <f>SUM(C37:C39)</f>
        <v>3953532.5599999977</v>
      </c>
      <c r="D40" s="897"/>
      <c r="E40" s="771"/>
      <c r="F40" s="127"/>
    </row>
    <row r="41" spans="1:5" s="18" customFormat="1" ht="15" customHeight="1">
      <c r="A41" s="410" t="s">
        <v>400</v>
      </c>
      <c r="B41" s="509">
        <f>-'[7]Trial Balance'!F156</f>
        <v>216461.9</v>
      </c>
      <c r="C41" s="122"/>
      <c r="D41" s="897"/>
      <c r="E41" s="771"/>
    </row>
    <row r="42" spans="1:5" s="18" customFormat="1" ht="15" customHeight="1">
      <c r="A42" s="410" t="s">
        <v>401</v>
      </c>
      <c r="B42" s="511">
        <v>175045</v>
      </c>
      <c r="C42" s="122" t="s">
        <v>307</v>
      </c>
      <c r="D42" s="897"/>
      <c r="E42" s="127"/>
    </row>
    <row r="43" spans="1:5" s="18" customFormat="1" ht="15" customHeight="1">
      <c r="A43" s="410" t="s">
        <v>194</v>
      </c>
      <c r="B43" s="509"/>
      <c r="C43" s="918">
        <f>+B41-B42</f>
        <v>41416.899999999994</v>
      </c>
      <c r="D43" s="897"/>
      <c r="E43" s="127"/>
    </row>
    <row r="44" spans="1:6" s="18" customFormat="1" ht="15" customHeight="1">
      <c r="A44" s="409" t="s">
        <v>261</v>
      </c>
      <c r="B44" s="509"/>
      <c r="C44" s="122"/>
      <c r="D44" s="898">
        <f>SUM(C40:C43)</f>
        <v>3994949.4599999976</v>
      </c>
      <c r="E44" s="127"/>
      <c r="F44" s="127"/>
    </row>
    <row r="45" spans="1:6" s="18" customFormat="1" ht="15" customHeight="1">
      <c r="A45" s="409" t="s">
        <v>195</v>
      </c>
      <c r="B45" s="509"/>
      <c r="C45" s="122"/>
      <c r="D45" s="901">
        <f>SUM(D36:D44)</f>
        <v>4036399.1899999976</v>
      </c>
      <c r="E45" s="127"/>
      <c r="F45" s="120"/>
    </row>
    <row r="46" spans="1:6" s="18" customFormat="1" ht="15" customHeight="1">
      <c r="A46" s="409" t="s">
        <v>196</v>
      </c>
      <c r="B46" s="509"/>
      <c r="C46" s="122"/>
      <c r="D46" s="899">
        <f>+D31+D45</f>
        <v>9629418.249999996</v>
      </c>
      <c r="E46" s="127"/>
      <c r="F46" s="120"/>
    </row>
    <row r="47" spans="1:6" s="18" customFormat="1" ht="15" customHeight="1">
      <c r="A47" s="409" t="s">
        <v>38</v>
      </c>
      <c r="B47" s="509"/>
      <c r="C47" s="122"/>
      <c r="D47" s="900">
        <f>D16-D31-D45</f>
        <v>700071.0400000019</v>
      </c>
      <c r="E47" s="48"/>
      <c r="F47" s="127"/>
    </row>
    <row r="48" spans="1:6" s="18" customFormat="1" ht="15" customHeight="1">
      <c r="A48" s="410" t="s">
        <v>243</v>
      </c>
      <c r="B48" s="509"/>
      <c r="C48" s="122">
        <f>-'[7]Trial Balance'!F264-C51</f>
        <v>220934.06</v>
      </c>
      <c r="D48" s="897"/>
      <c r="E48" s="114"/>
      <c r="F48" s="114"/>
    </row>
    <row r="49" spans="1:5" s="18" customFormat="1" ht="15" customHeight="1">
      <c r="A49" s="410" t="s">
        <v>417</v>
      </c>
      <c r="B49" s="509">
        <f>'[7]Trial Balance'!F24</f>
        <v>32055.81</v>
      </c>
      <c r="C49" s="122"/>
      <c r="D49" s="897"/>
      <c r="E49" s="127"/>
    </row>
    <row r="50" spans="1:5" s="18" customFormat="1" ht="15" customHeight="1">
      <c r="A50" s="410" t="s">
        <v>418</v>
      </c>
      <c r="B50" s="511">
        <v>72361</v>
      </c>
      <c r="C50" s="122"/>
      <c r="D50" s="897"/>
      <c r="E50" s="127"/>
    </row>
    <row r="51" spans="1:5" s="18" customFormat="1" ht="15" customHeight="1">
      <c r="A51" s="410" t="s">
        <v>419</v>
      </c>
      <c r="B51" s="509"/>
      <c r="C51" s="918">
        <f>B49-B50</f>
        <v>-40305.19</v>
      </c>
      <c r="D51" s="897"/>
      <c r="E51" s="127"/>
    </row>
    <row r="52" spans="1:5" s="18" customFormat="1" ht="15" customHeight="1">
      <c r="A52" s="409" t="s">
        <v>244</v>
      </c>
      <c r="B52" s="509"/>
      <c r="C52" s="122"/>
      <c r="D52" s="898">
        <f>C48+C51</f>
        <v>180628.87</v>
      </c>
      <c r="E52" s="127"/>
    </row>
    <row r="53" spans="1:6" s="18" customFormat="1" ht="15" customHeight="1">
      <c r="A53" s="411"/>
      <c r="B53" s="509"/>
      <c r="C53" s="122"/>
      <c r="D53" s="897"/>
      <c r="E53" s="127"/>
      <c r="F53" s="114"/>
    </row>
    <row r="54" spans="1:6" s="18" customFormat="1" ht="15" customHeight="1">
      <c r="A54" s="412" t="s">
        <v>39</v>
      </c>
      <c r="B54" s="511"/>
      <c r="C54" s="512"/>
      <c r="D54" s="899">
        <f>D47+D52</f>
        <v>880699.9100000019</v>
      </c>
      <c r="E54" s="48"/>
      <c r="F54" s="340"/>
    </row>
    <row r="55" spans="1:5" s="18" customFormat="1" ht="15" customHeight="1">
      <c r="A55" s="413"/>
      <c r="B55" s="793"/>
      <c r="C55" s="793"/>
      <c r="D55" s="903"/>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297</v>
      </c>
      <c r="B1" s="423"/>
      <c r="C1" s="423"/>
      <c r="D1" s="423"/>
      <c r="E1" s="423"/>
      <c r="F1" s="423"/>
      <c r="G1" s="424"/>
    </row>
    <row r="2" spans="1:7" s="98" customFormat="1" ht="15" customHeight="1">
      <c r="A2" s="425"/>
      <c r="B2" s="426"/>
      <c r="C2" s="426"/>
      <c r="D2" s="426"/>
      <c r="E2" s="426"/>
      <c r="F2" s="426"/>
      <c r="G2" s="427"/>
    </row>
    <row r="3" spans="1:7" ht="15" customHeight="1">
      <c r="A3" s="840" t="s">
        <v>420</v>
      </c>
      <c r="B3" s="841"/>
      <c r="C3" s="841"/>
      <c r="D3" s="841"/>
      <c r="E3" s="841"/>
      <c r="F3" s="841"/>
      <c r="G3" s="842"/>
    </row>
    <row r="4" spans="1:7" ht="15" customHeight="1">
      <c r="A4" s="840" t="s">
        <v>483</v>
      </c>
      <c r="B4" s="841"/>
      <c r="C4" s="841"/>
      <c r="D4" s="841"/>
      <c r="E4" s="841"/>
      <c r="F4" s="841"/>
      <c r="G4" s="842"/>
    </row>
    <row r="5" spans="1:7" s="14" customFormat="1" ht="15" customHeight="1">
      <c r="A5" s="429"/>
      <c r="B5" s="430"/>
      <c r="C5" s="430"/>
      <c r="D5" s="430"/>
      <c r="E5" s="430"/>
      <c r="F5" s="430"/>
      <c r="G5" s="430"/>
    </row>
    <row r="6" spans="2:7" s="14" customFormat="1" ht="30" customHeight="1">
      <c r="B6" s="875" t="s">
        <v>3</v>
      </c>
      <c r="C6" s="875" t="s">
        <v>44</v>
      </c>
      <c r="D6" s="875" t="s">
        <v>41</v>
      </c>
      <c r="E6" s="875" t="s">
        <v>47</v>
      </c>
      <c r="F6" s="876" t="s">
        <v>4</v>
      </c>
      <c r="G6" s="878" t="s">
        <v>298</v>
      </c>
    </row>
    <row r="7" spans="1:7" s="99" customFormat="1" ht="15" customHeight="1">
      <c r="A7" s="431" t="s">
        <v>126</v>
      </c>
      <c r="B7" s="476"/>
      <c r="C7" s="476"/>
      <c r="D7" s="476"/>
      <c r="E7" s="476"/>
      <c r="F7" s="126"/>
      <c r="G7" s="476"/>
    </row>
    <row r="8" spans="1:7" s="14" customFormat="1" ht="15" customHeight="1">
      <c r="A8" s="432" t="s">
        <v>421</v>
      </c>
      <c r="B8" s="372"/>
      <c r="C8" s="372"/>
      <c r="D8" s="372"/>
      <c r="E8" s="372"/>
      <c r="F8" s="372"/>
      <c r="G8" s="372"/>
    </row>
    <row r="9" spans="1:7" s="99" customFormat="1" ht="15" customHeight="1">
      <c r="A9" s="371" t="s">
        <v>21</v>
      </c>
      <c r="B9" s="942">
        <f>-'[7]Trial Balance'!C229</f>
        <v>2583909</v>
      </c>
      <c r="C9" s="942">
        <f>-'[7]Trial Balance'!C225</f>
        <v>-14320</v>
      </c>
      <c r="D9" s="942">
        <f>-'[7]Trial Balance'!C222</f>
        <v>891</v>
      </c>
      <c r="E9" s="942">
        <f>-'[7]Trial Balance'!C219</f>
        <v>815</v>
      </c>
      <c r="F9" s="126">
        <f>'[7]Trial Balance'!C216</f>
        <v>0</v>
      </c>
      <c r="G9" s="907">
        <f>SUM(B9:F9)</f>
        <v>2571295</v>
      </c>
    </row>
    <row r="10" spans="1:7" s="14" customFormat="1" ht="15" customHeight="1">
      <c r="A10" s="371" t="s">
        <v>435</v>
      </c>
      <c r="B10" s="911">
        <f>-'[7]Trial Balance'!C230</f>
        <v>777615</v>
      </c>
      <c r="C10" s="911">
        <f>-'[7]Trial Balance'!C226</f>
        <v>-2301</v>
      </c>
      <c r="D10" s="911">
        <f>-'[7]Trial Balance'!C223</f>
        <v>291</v>
      </c>
      <c r="E10" s="911">
        <f>-'[7]Trial Balance'!C220</f>
        <v>277</v>
      </c>
      <c r="F10" s="126">
        <f>'[7]Trial Balance'!C217</f>
        <v>0</v>
      </c>
      <c r="G10" s="485">
        <f>SUM(B10:F10)</f>
        <v>775882</v>
      </c>
    </row>
    <row r="11" spans="1:7" s="14" customFormat="1" ht="15" customHeight="1">
      <c r="A11" s="371" t="s">
        <v>436</v>
      </c>
      <c r="B11" s="911">
        <f>-'[7]Trial Balance'!C231</f>
        <v>10450</v>
      </c>
      <c r="C11" s="911">
        <f>-'[7]Trial Balance'!C227</f>
        <v>-172</v>
      </c>
      <c r="D11" s="126">
        <v>0</v>
      </c>
      <c r="E11" s="126">
        <v>0</v>
      </c>
      <c r="F11" s="126">
        <v>0</v>
      </c>
      <c r="G11" s="485">
        <f>SUM(B11:F11)</f>
        <v>10278</v>
      </c>
    </row>
    <row r="12" spans="1:7" s="24" customFormat="1" ht="15" customHeight="1" thickBot="1">
      <c r="A12" s="433" t="s">
        <v>425</v>
      </c>
      <c r="B12" s="138">
        <f aca="true" t="shared" si="0" ref="B12:G12">SUM(B9:B11)</f>
        <v>3371974</v>
      </c>
      <c r="C12" s="917">
        <f t="shared" si="0"/>
        <v>-16793</v>
      </c>
      <c r="D12" s="917">
        <f t="shared" si="0"/>
        <v>1182</v>
      </c>
      <c r="E12" s="917">
        <f t="shared" si="0"/>
        <v>1092</v>
      </c>
      <c r="F12" s="138">
        <f t="shared" si="0"/>
        <v>0</v>
      </c>
      <c r="G12" s="767">
        <f t="shared" si="0"/>
        <v>3357455</v>
      </c>
    </row>
    <row r="13" spans="1:7" s="24" customFormat="1" ht="15" customHeight="1" thickTop="1">
      <c r="A13" s="371"/>
      <c r="B13" s="126"/>
      <c r="C13" s="126"/>
      <c r="D13" s="126"/>
      <c r="E13" s="126"/>
      <c r="F13" s="126"/>
      <c r="G13" s="256"/>
    </row>
    <row r="14" spans="1:7" s="24" customFormat="1" ht="30" customHeight="1">
      <c r="A14" s="432" t="s">
        <v>486</v>
      </c>
      <c r="B14" s="126"/>
      <c r="C14" s="126"/>
      <c r="D14" s="126"/>
      <c r="E14" s="126"/>
      <c r="F14" s="126"/>
      <c r="G14" s="126"/>
    </row>
    <row r="15" spans="1:7" s="24" customFormat="1" ht="15" customHeight="1">
      <c r="A15" s="371" t="s">
        <v>21</v>
      </c>
      <c r="B15" s="126">
        <f>'Premiums YTD-8'!B15</f>
        <v>4771846.93</v>
      </c>
      <c r="C15" s="126">
        <f>'Premiums YTD-8'!C15</f>
        <v>306068.03</v>
      </c>
      <c r="D15" s="589">
        <f>'Premiums YTD-8'!D15</f>
        <v>0</v>
      </c>
      <c r="E15" s="589">
        <f>'Premiums YTD-8'!E15</f>
        <v>0</v>
      </c>
      <c r="F15" s="589">
        <f>'Premiums YTD-8'!F15</f>
        <v>0</v>
      </c>
      <c r="G15" s="485">
        <f>SUM(B15:F15)</f>
        <v>5077914.96</v>
      </c>
    </row>
    <row r="16" spans="1:7" s="24" customFormat="1" ht="15" customHeight="1">
      <c r="A16" s="371" t="s">
        <v>63</v>
      </c>
      <c r="B16" s="126">
        <f>'Premiums YTD-8'!B16</f>
        <v>1432604.17</v>
      </c>
      <c r="C16" s="126">
        <f>'Premiums YTD-8'!C16</f>
        <v>92498.07</v>
      </c>
      <c r="D16" s="126">
        <f>'Premiums YTD-8'!D16</f>
        <v>0</v>
      </c>
      <c r="E16" s="126">
        <f>'Premiums YTD-8'!E16</f>
        <v>0</v>
      </c>
      <c r="F16" s="126">
        <f>'Premiums YTD-8'!F16</f>
        <v>0</v>
      </c>
      <c r="G16" s="485">
        <f>SUM(B16:F16)</f>
        <v>1525102.24</v>
      </c>
    </row>
    <row r="17" spans="1:7" s="24" customFormat="1" ht="15" customHeight="1">
      <c r="A17" s="371" t="s">
        <v>448</v>
      </c>
      <c r="B17" s="126">
        <f>'Premiums YTD-8'!B17</f>
        <v>17476.85</v>
      </c>
      <c r="C17" s="126">
        <f>'Premiums YTD-8'!C17</f>
        <v>1000.66</v>
      </c>
      <c r="D17" s="126">
        <f>'Premiums YTD-8'!D17</f>
        <v>0</v>
      </c>
      <c r="E17" s="126">
        <f>'Premiums YTD-8'!E17</f>
        <v>0</v>
      </c>
      <c r="F17" s="126">
        <f>'Premiums YTD-8'!F17</f>
        <v>0</v>
      </c>
      <c r="G17" s="766">
        <f>SUM(B17:F17)</f>
        <v>18477.51</v>
      </c>
    </row>
    <row r="18" spans="1:7" s="24" customFormat="1" ht="15" customHeight="1" thickBot="1">
      <c r="A18" s="433" t="s">
        <v>425</v>
      </c>
      <c r="B18" s="138">
        <f>SUM(B15:B17)</f>
        <v>6221927.949999999</v>
      </c>
      <c r="C18" s="138">
        <f>SUM(C15:C17)</f>
        <v>399566.76</v>
      </c>
      <c r="D18" s="138">
        <f>SUM(D15:D17)</f>
        <v>0</v>
      </c>
      <c r="E18" s="138">
        <f>SUM(E15:E17)</f>
        <v>0</v>
      </c>
      <c r="F18" s="138">
        <v>0</v>
      </c>
      <c r="G18" s="767">
        <f>SUM(G15:G17)</f>
        <v>6621494.71</v>
      </c>
    </row>
    <row r="19" spans="1:7" s="24" customFormat="1" ht="15" customHeight="1" thickTop="1">
      <c r="A19" s="371"/>
      <c r="B19" s="126"/>
      <c r="C19" s="126"/>
      <c r="D19" s="126"/>
      <c r="E19" s="126"/>
      <c r="F19" s="126"/>
      <c r="G19" s="256"/>
    </row>
    <row r="20" spans="1:7" s="24" customFormat="1" ht="30" customHeight="1">
      <c r="A20" s="432" t="s">
        <v>490</v>
      </c>
      <c r="B20" s="312"/>
      <c r="C20" s="312"/>
      <c r="D20" s="312"/>
      <c r="E20" s="312"/>
      <c r="F20" s="126"/>
      <c r="G20" s="126"/>
    </row>
    <row r="21" spans="1:7" s="24" customFormat="1" ht="15" customHeight="1">
      <c r="A21" s="371" t="s">
        <v>21</v>
      </c>
      <c r="B21" s="126">
        <v>3777212.11</v>
      </c>
      <c r="C21" s="126">
        <v>1313645.58</v>
      </c>
      <c r="D21" s="589">
        <v>0</v>
      </c>
      <c r="E21" s="589">
        <v>0</v>
      </c>
      <c r="F21" s="589">
        <v>0</v>
      </c>
      <c r="G21" s="485">
        <f>SUM(B21:F21)</f>
        <v>5090857.6899999995</v>
      </c>
    </row>
    <row r="22" spans="1:7" s="24" customFormat="1" ht="15" customHeight="1">
      <c r="A22" s="371" t="s">
        <v>435</v>
      </c>
      <c r="B22" s="126">
        <v>1126321.7</v>
      </c>
      <c r="C22" s="126">
        <v>401729.9</v>
      </c>
      <c r="D22" s="126">
        <v>0</v>
      </c>
      <c r="E22" s="126">
        <v>0</v>
      </c>
      <c r="F22" s="126">
        <v>0</v>
      </c>
      <c r="G22" s="485">
        <f>SUM(B22:F22)</f>
        <v>1528051.6</v>
      </c>
    </row>
    <row r="23" spans="1:7" s="24" customFormat="1" ht="15" customHeight="1">
      <c r="A23" s="371" t="s">
        <v>436</v>
      </c>
      <c r="B23" s="126">
        <v>12463.04</v>
      </c>
      <c r="C23" s="126">
        <v>5045.75</v>
      </c>
      <c r="D23" s="126">
        <v>0</v>
      </c>
      <c r="E23" s="126">
        <v>0</v>
      </c>
      <c r="F23" s="126">
        <v>0</v>
      </c>
      <c r="G23" s="485">
        <f>SUM(B23:F23)</f>
        <v>17508.79</v>
      </c>
    </row>
    <row r="24" spans="1:7" s="24" customFormat="1" ht="15" customHeight="1" thickBot="1">
      <c r="A24" s="433" t="s">
        <v>425</v>
      </c>
      <c r="B24" s="138">
        <f>SUM(B21:B23)</f>
        <v>4915996.85</v>
      </c>
      <c r="C24" s="138">
        <f>SUM(C21:C23)+1</f>
        <v>1720422.23</v>
      </c>
      <c r="D24" s="138">
        <f>SUM(D21:D23)</f>
        <v>0</v>
      </c>
      <c r="E24" s="138">
        <f>SUM(E21:E23)</f>
        <v>0</v>
      </c>
      <c r="F24" s="138">
        <f>SUM(F21:F23)</f>
        <v>0</v>
      </c>
      <c r="G24" s="129">
        <f>SUM(B24:F24)</f>
        <v>6636419.08</v>
      </c>
    </row>
    <row r="25" spans="1:7" s="782" customFormat="1" ht="15" customHeight="1" thickTop="1">
      <c r="A25" s="434"/>
      <c r="B25" s="126"/>
      <c r="C25" s="126"/>
      <c r="D25" s="126"/>
      <c r="E25" s="126"/>
      <c r="F25" s="126"/>
      <c r="G25" s="781"/>
    </row>
    <row r="26" spans="1:7" s="24" customFormat="1" ht="15" customHeight="1">
      <c r="A26" s="432" t="s">
        <v>426</v>
      </c>
      <c r="B26" s="126"/>
      <c r="C26" s="126"/>
      <c r="D26" s="126"/>
      <c r="E26" s="126"/>
      <c r="F26" s="126"/>
      <c r="G26" s="126"/>
    </row>
    <row r="27" spans="1:7" s="24" customFormat="1" ht="15" customHeight="1">
      <c r="A27" s="371" t="s">
        <v>21</v>
      </c>
      <c r="B27" s="126">
        <f aca="true" t="shared" si="1" ref="B27:F29">B9-(B15-B21)</f>
        <v>1589274.1800000002</v>
      </c>
      <c r="C27" s="126">
        <f>C9-(C15-C21)</f>
        <v>993257.55</v>
      </c>
      <c r="D27" s="910">
        <f t="shared" si="1"/>
        <v>891</v>
      </c>
      <c r="E27" s="910">
        <f t="shared" si="1"/>
        <v>815</v>
      </c>
      <c r="F27" s="589">
        <f t="shared" si="1"/>
        <v>0</v>
      </c>
      <c r="G27" s="485">
        <f>SUM(B27:F27)</f>
        <v>2584237.7300000004</v>
      </c>
    </row>
    <row r="28" spans="1:7" s="24" customFormat="1" ht="15" customHeight="1">
      <c r="A28" s="371" t="s">
        <v>435</v>
      </c>
      <c r="B28" s="126">
        <f>B10-(B16-B22)</f>
        <v>471332.53</v>
      </c>
      <c r="C28" s="126">
        <f t="shared" si="1"/>
        <v>306930.83</v>
      </c>
      <c r="D28" s="910">
        <f t="shared" si="1"/>
        <v>291</v>
      </c>
      <c r="E28" s="910">
        <f t="shared" si="1"/>
        <v>277</v>
      </c>
      <c r="F28" s="126">
        <f t="shared" si="1"/>
        <v>0</v>
      </c>
      <c r="G28" s="485">
        <f>SUM(B28:F28)+1</f>
        <v>778832.3600000001</v>
      </c>
    </row>
    <row r="29" spans="1:7" s="24" customFormat="1" ht="15" customHeight="1">
      <c r="A29" s="435" t="s">
        <v>436</v>
      </c>
      <c r="B29" s="485">
        <f t="shared" si="1"/>
        <v>5436.190000000002</v>
      </c>
      <c r="C29" s="485">
        <f t="shared" si="1"/>
        <v>3873.09</v>
      </c>
      <c r="D29" s="485">
        <f t="shared" si="1"/>
        <v>0</v>
      </c>
      <c r="E29" s="485">
        <f t="shared" si="1"/>
        <v>0</v>
      </c>
      <c r="F29" s="126">
        <f t="shared" si="1"/>
        <v>0</v>
      </c>
      <c r="G29" s="485">
        <f>SUM(B29:F29)</f>
        <v>9309.280000000002</v>
      </c>
    </row>
    <row r="30" spans="1:7" s="24" customFormat="1" ht="15" customHeight="1" thickBot="1">
      <c r="A30" s="433" t="s">
        <v>425</v>
      </c>
      <c r="B30" s="544">
        <f aca="true" t="shared" si="2" ref="B30:G30">SUM(B27:B29)</f>
        <v>2066042.9000000001</v>
      </c>
      <c r="C30" s="544">
        <f>SUM(C27:C29)+1</f>
        <v>1304062.4700000002</v>
      </c>
      <c r="D30" s="916">
        <f t="shared" si="2"/>
        <v>1182</v>
      </c>
      <c r="E30" s="916">
        <f t="shared" si="2"/>
        <v>1092</v>
      </c>
      <c r="F30" s="943">
        <f t="shared" si="2"/>
        <v>0</v>
      </c>
      <c r="G30" s="544">
        <f t="shared" si="2"/>
        <v>3372379.3700000006</v>
      </c>
    </row>
    <row r="31" spans="2:7" s="14" customFormat="1" ht="15" customHeight="1" thickTop="1">
      <c r="B31" s="256"/>
      <c r="C31" s="256"/>
      <c r="D31" s="256"/>
      <c r="E31" s="256"/>
      <c r="F31" s="256"/>
      <c r="G31" s="256"/>
    </row>
    <row r="32" spans="1:7" s="14" customFormat="1" ht="9.75" customHeight="1">
      <c r="A32" s="1004" t="s">
        <v>43</v>
      </c>
      <c r="B32" s="1005"/>
      <c r="C32" s="1005"/>
      <c r="D32" s="1005"/>
      <c r="E32" s="1004"/>
      <c r="F32" s="1004"/>
      <c r="G32" s="1004"/>
    </row>
    <row r="33" spans="1:7" s="14" customFormat="1" ht="9.75" customHeight="1">
      <c r="A33" s="1004"/>
      <c r="B33" s="1005"/>
      <c r="C33" s="1005"/>
      <c r="D33" s="1005"/>
      <c r="E33" s="1004"/>
      <c r="F33" s="1004"/>
      <c r="G33" s="1004"/>
    </row>
  </sheetData>
  <sheetProtection/>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297</v>
      </c>
      <c r="B1" s="423"/>
      <c r="C1" s="423"/>
      <c r="D1" s="423"/>
      <c r="E1" s="423"/>
      <c r="F1" s="423"/>
      <c r="G1" s="424"/>
    </row>
    <row r="2" spans="1:7" s="98" customFormat="1" ht="15" customHeight="1">
      <c r="A2" s="425"/>
      <c r="B2" s="426"/>
      <c r="C2" s="426"/>
      <c r="D2" s="426"/>
      <c r="E2" s="426"/>
      <c r="F2" s="426"/>
      <c r="G2" s="427"/>
    </row>
    <row r="3" spans="1:7" ht="15" customHeight="1">
      <c r="A3" s="840" t="s">
        <v>420</v>
      </c>
      <c r="B3" s="841"/>
      <c r="C3" s="841"/>
      <c r="D3" s="841"/>
      <c r="E3" s="841"/>
      <c r="F3" s="841"/>
      <c r="G3" s="842"/>
    </row>
    <row r="4" spans="1:7" ht="15" customHeight="1">
      <c r="A4" s="840" t="s">
        <v>484</v>
      </c>
      <c r="B4" s="841"/>
      <c r="C4" s="841"/>
      <c r="D4" s="841"/>
      <c r="E4" s="841"/>
      <c r="F4" s="841"/>
      <c r="G4" s="842"/>
    </row>
    <row r="5" spans="1:7" s="14" customFormat="1" ht="15" customHeight="1">
      <c r="A5" s="429"/>
      <c r="B5" s="430"/>
      <c r="C5" s="430"/>
      <c r="D5" s="430"/>
      <c r="E5" s="430"/>
      <c r="F5" s="430"/>
      <c r="G5" s="430"/>
    </row>
    <row r="6" spans="2:7" s="14" customFormat="1" ht="30" customHeight="1">
      <c r="B6" s="875" t="s">
        <v>3</v>
      </c>
      <c r="C6" s="875" t="s">
        <v>44</v>
      </c>
      <c r="D6" s="875" t="s">
        <v>41</v>
      </c>
      <c r="E6" s="875" t="s">
        <v>47</v>
      </c>
      <c r="F6" s="876" t="s">
        <v>4</v>
      </c>
      <c r="G6" s="878" t="s">
        <v>298</v>
      </c>
    </row>
    <row r="7" spans="1:7" s="14" customFormat="1" ht="15" customHeight="1">
      <c r="A7" s="431" t="s">
        <v>126</v>
      </c>
      <c r="B7" s="430"/>
      <c r="C7" s="430"/>
      <c r="D7" s="430"/>
      <c r="E7" s="430"/>
      <c r="F7" s="430"/>
      <c r="G7" s="430"/>
    </row>
    <row r="8" spans="1:7" s="14" customFormat="1" ht="15" customHeight="1">
      <c r="A8" s="432" t="s">
        <v>421</v>
      </c>
      <c r="B8" s="372"/>
      <c r="C8" s="372"/>
      <c r="D8" s="372"/>
      <c r="E8" s="372"/>
      <c r="F8" s="372"/>
      <c r="G8" s="372"/>
    </row>
    <row r="9" spans="1:7" s="99" customFormat="1" ht="15" customHeight="1">
      <c r="A9" s="371" t="s">
        <v>21</v>
      </c>
      <c r="B9" s="942">
        <f>-'[7]Trial Balance'!E229</f>
        <v>7593077</v>
      </c>
      <c r="C9" s="942">
        <f>-'[7]Trial Balance'!E225</f>
        <v>-59759</v>
      </c>
      <c r="D9" s="942">
        <f>-'[7]Trial Balance'!E222</f>
        <v>-1328</v>
      </c>
      <c r="E9" s="942">
        <f>-'[7]Trial Balance'!E219</f>
        <v>-935</v>
      </c>
      <c r="F9" s="942">
        <f>-'[7]Trial Balance'!E216</f>
        <v>-1670</v>
      </c>
      <c r="G9" s="907">
        <f>SUM(B9:F9)</f>
        <v>7529385</v>
      </c>
    </row>
    <row r="10" spans="1:7" s="14" customFormat="1" ht="15" customHeight="1">
      <c r="A10" s="371" t="s">
        <v>435</v>
      </c>
      <c r="B10" s="910">
        <f>-'[7]Trial Balance'!E230</f>
        <v>2264950</v>
      </c>
      <c r="C10" s="910">
        <f>-'[7]Trial Balance'!E226</f>
        <v>-20530</v>
      </c>
      <c r="D10" s="910">
        <f>-'[7]Trial Balance'!E223</f>
        <v>-344</v>
      </c>
      <c r="E10" s="910">
        <f>-'[7]Trial Balance'!E220</f>
        <v>-247</v>
      </c>
      <c r="F10" s="910">
        <f>-'[7]Trial Balance'!E217</f>
        <v>-524</v>
      </c>
      <c r="G10" s="485">
        <f>SUM(B10:F10)</f>
        <v>2243305</v>
      </c>
    </row>
    <row r="11" spans="1:7" s="14" customFormat="1" ht="15" customHeight="1">
      <c r="A11" s="371" t="s">
        <v>436</v>
      </c>
      <c r="B11" s="126">
        <f>-'[7]Trial Balance'!E231</f>
        <v>26743</v>
      </c>
      <c r="C11" s="910">
        <f>-'[7]Trial Balance'!E227</f>
        <v>-450</v>
      </c>
      <c r="D11" s="126">
        <v>0</v>
      </c>
      <c r="E11" s="126">
        <v>0</v>
      </c>
      <c r="F11" s="126">
        <v>0</v>
      </c>
      <c r="G11" s="485">
        <f>SUM(B11:F11)</f>
        <v>26293</v>
      </c>
    </row>
    <row r="12" spans="1:7" s="24" customFormat="1" ht="15" customHeight="1" thickBot="1">
      <c r="A12" s="433" t="s">
        <v>425</v>
      </c>
      <c r="B12" s="138">
        <f aca="true" t="shared" si="0" ref="B12:G12">SUM(B9:B11)</f>
        <v>9884770</v>
      </c>
      <c r="C12" s="917">
        <f t="shared" si="0"/>
        <v>-80739</v>
      </c>
      <c r="D12" s="917">
        <f t="shared" si="0"/>
        <v>-1672</v>
      </c>
      <c r="E12" s="917">
        <f t="shared" si="0"/>
        <v>-1182</v>
      </c>
      <c r="F12" s="917">
        <f t="shared" si="0"/>
        <v>-2194</v>
      </c>
      <c r="G12" s="767">
        <f t="shared" si="0"/>
        <v>9798983</v>
      </c>
    </row>
    <row r="13" spans="1:7" s="24" customFormat="1" ht="15" customHeight="1" thickTop="1">
      <c r="A13" s="371"/>
      <c r="B13" s="126"/>
      <c r="C13" s="126"/>
      <c r="D13" s="126"/>
      <c r="E13" s="126"/>
      <c r="F13" s="126"/>
      <c r="G13" s="256"/>
    </row>
    <row r="14" spans="1:7" s="24" customFormat="1" ht="30" customHeight="1">
      <c r="A14" s="432" t="s">
        <v>486</v>
      </c>
      <c r="B14" s="126"/>
      <c r="C14" s="126"/>
      <c r="D14" s="126"/>
      <c r="E14" s="126"/>
      <c r="F14" s="126"/>
      <c r="G14" s="126"/>
    </row>
    <row r="15" spans="1:7" s="24" customFormat="1" ht="15" customHeight="1">
      <c r="A15" s="371" t="s">
        <v>21</v>
      </c>
      <c r="B15" s="126">
        <f>-'[7]Trial Balance'!E68</f>
        <v>4771846.93</v>
      </c>
      <c r="C15" s="126">
        <f>-'[7]Trial Balance'!E64</f>
        <v>306068.03</v>
      </c>
      <c r="D15" s="589">
        <v>0</v>
      </c>
      <c r="E15" s="589">
        <v>0</v>
      </c>
      <c r="F15" s="589">
        <v>0</v>
      </c>
      <c r="G15" s="485">
        <f>SUM(B15:F15)</f>
        <v>5077914.96</v>
      </c>
    </row>
    <row r="16" spans="1:7" s="24" customFormat="1" ht="15" customHeight="1">
      <c r="A16" s="371" t="s">
        <v>63</v>
      </c>
      <c r="B16" s="126">
        <f>-'[7]Trial Balance'!E69</f>
        <v>1432604.17</v>
      </c>
      <c r="C16" s="126">
        <f>-'[7]Trial Balance'!E65</f>
        <v>92498.07</v>
      </c>
      <c r="D16" s="126">
        <v>0</v>
      </c>
      <c r="E16" s="126">
        <v>0</v>
      </c>
      <c r="F16" s="126">
        <v>0</v>
      </c>
      <c r="G16" s="485">
        <f>SUM(B16:F16)</f>
        <v>1525102.24</v>
      </c>
    </row>
    <row r="17" spans="1:7" s="24" customFormat="1" ht="15" customHeight="1">
      <c r="A17" s="371" t="s">
        <v>448</v>
      </c>
      <c r="B17" s="126">
        <f>-'[7]Trial Balance'!E70</f>
        <v>17476.85</v>
      </c>
      <c r="C17" s="126">
        <f>-'[7]Trial Balance'!E66</f>
        <v>1000.66</v>
      </c>
      <c r="D17" s="126">
        <v>0</v>
      </c>
      <c r="E17" s="126">
        <v>0</v>
      </c>
      <c r="F17" s="126">
        <v>0</v>
      </c>
      <c r="G17" s="766">
        <f>SUM(B17:F17)</f>
        <v>18477.51</v>
      </c>
    </row>
    <row r="18" spans="1:7" s="24" customFormat="1" ht="15" customHeight="1" thickBot="1">
      <c r="A18" s="433" t="s">
        <v>425</v>
      </c>
      <c r="B18" s="138">
        <f>SUM(B15:B17)</f>
        <v>6221927.949999999</v>
      </c>
      <c r="C18" s="138">
        <f>SUM(C15:C17)</f>
        <v>399566.76</v>
      </c>
      <c r="D18" s="138">
        <f>SUM(D15:D17)</f>
        <v>0</v>
      </c>
      <c r="E18" s="138">
        <f>SUM(E15:E17)</f>
        <v>0</v>
      </c>
      <c r="F18" s="138">
        <v>0</v>
      </c>
      <c r="G18" s="767">
        <f>SUM(G15:G17)</f>
        <v>6621494.71</v>
      </c>
    </row>
    <row r="19" spans="1:7" s="24" customFormat="1" ht="15" customHeight="1" thickTop="1">
      <c r="A19" s="371"/>
      <c r="B19" s="126"/>
      <c r="C19" s="126"/>
      <c r="D19" s="126"/>
      <c r="E19" s="126"/>
      <c r="F19" s="126"/>
      <c r="G19" s="256"/>
    </row>
    <row r="20" spans="1:7" s="24" customFormat="1" ht="30" customHeight="1">
      <c r="A20" s="432" t="s">
        <v>0</v>
      </c>
      <c r="B20" s="312"/>
      <c r="C20" s="312"/>
      <c r="D20" s="312"/>
      <c r="E20" s="312"/>
      <c r="F20" s="126"/>
      <c r="G20" s="126"/>
    </row>
    <row r="21" spans="1:7" s="24" customFormat="1" ht="15" customHeight="1">
      <c r="A21" s="371" t="s">
        <v>21</v>
      </c>
      <c r="B21" s="126">
        <v>0</v>
      </c>
      <c r="C21" s="126">
        <v>5449093</v>
      </c>
      <c r="D21" s="589">
        <v>0</v>
      </c>
      <c r="E21" s="589">
        <v>0</v>
      </c>
      <c r="F21" s="589">
        <v>0</v>
      </c>
      <c r="G21" s="485">
        <f>SUM(B21:F21)</f>
        <v>5449093</v>
      </c>
    </row>
    <row r="22" spans="1:7" s="24" customFormat="1" ht="15" customHeight="1">
      <c r="A22" s="371" t="s">
        <v>435</v>
      </c>
      <c r="B22" s="126">
        <v>0</v>
      </c>
      <c r="C22" s="126">
        <v>1681154</v>
      </c>
      <c r="D22" s="126">
        <v>0</v>
      </c>
      <c r="E22" s="126">
        <v>0</v>
      </c>
      <c r="F22" s="126">
        <v>0</v>
      </c>
      <c r="G22" s="485">
        <f>SUM(B22:F22)</f>
        <v>1681154</v>
      </c>
    </row>
    <row r="23" spans="1:7" s="24" customFormat="1" ht="15" customHeight="1">
      <c r="A23" s="371" t="s">
        <v>436</v>
      </c>
      <c r="B23" s="126">
        <v>0</v>
      </c>
      <c r="C23" s="126">
        <v>21754</v>
      </c>
      <c r="D23" s="126">
        <v>0</v>
      </c>
      <c r="E23" s="126">
        <v>0</v>
      </c>
      <c r="F23" s="126">
        <v>0</v>
      </c>
      <c r="G23" s="485">
        <f>SUM(B23:F23)</f>
        <v>21754</v>
      </c>
    </row>
    <row r="24" spans="1:7" s="24" customFormat="1" ht="15" customHeight="1" thickBot="1">
      <c r="A24" s="433" t="s">
        <v>425</v>
      </c>
      <c r="B24" s="138">
        <f>SUM(B21:B23)</f>
        <v>0</v>
      </c>
      <c r="C24" s="138">
        <f>SUM(C21:C23)</f>
        <v>7152001</v>
      </c>
      <c r="D24" s="138">
        <f>SUM(D21:D23)</f>
        <v>0</v>
      </c>
      <c r="E24" s="138">
        <f>SUM(E21:E23)</f>
        <v>0</v>
      </c>
      <c r="F24" s="138">
        <f>SUM(F21:F23)</f>
        <v>0</v>
      </c>
      <c r="G24" s="129">
        <f>SUM(C24:F24)</f>
        <v>7152001</v>
      </c>
    </row>
    <row r="25" spans="1:7" s="782" customFormat="1" ht="15" customHeight="1" thickTop="1">
      <c r="A25" s="434"/>
      <c r="B25" s="126"/>
      <c r="C25" s="126"/>
      <c r="D25" s="126"/>
      <c r="E25" s="843"/>
      <c r="F25" s="126"/>
      <c r="G25" s="781"/>
    </row>
    <row r="26" spans="1:7" s="24" customFormat="1" ht="15" customHeight="1">
      <c r="A26" s="432" t="s">
        <v>426</v>
      </c>
      <c r="B26" s="126"/>
      <c r="C26" s="126"/>
      <c r="D26" s="126"/>
      <c r="E26" s="126"/>
      <c r="F26" s="126"/>
      <c r="G26" s="126"/>
    </row>
    <row r="27" spans="1:7" s="24" customFormat="1" ht="15" customHeight="1">
      <c r="A27" s="371" t="s">
        <v>21</v>
      </c>
      <c r="B27" s="126">
        <f aca="true" t="shared" si="1" ref="B27:F29">B9-(B15-B21)</f>
        <v>2821230.0700000003</v>
      </c>
      <c r="C27" s="126">
        <f t="shared" si="1"/>
        <v>5083265.97</v>
      </c>
      <c r="D27" s="910">
        <f t="shared" si="1"/>
        <v>-1328</v>
      </c>
      <c r="E27" s="910">
        <f t="shared" si="1"/>
        <v>-935</v>
      </c>
      <c r="F27" s="910">
        <f t="shared" si="1"/>
        <v>-1670</v>
      </c>
      <c r="G27" s="485">
        <f>SUM(B27:F27)</f>
        <v>7900563.04</v>
      </c>
    </row>
    <row r="28" spans="1:7" s="24" customFormat="1" ht="15" customHeight="1">
      <c r="A28" s="371" t="s">
        <v>435</v>
      </c>
      <c r="B28" s="126">
        <f t="shared" si="1"/>
        <v>832345.8300000001</v>
      </c>
      <c r="C28" s="126">
        <f t="shared" si="1"/>
        <v>1568125.93</v>
      </c>
      <c r="D28" s="910">
        <f t="shared" si="1"/>
        <v>-344</v>
      </c>
      <c r="E28" s="910">
        <f t="shared" si="1"/>
        <v>-247</v>
      </c>
      <c r="F28" s="910">
        <f t="shared" si="1"/>
        <v>-524</v>
      </c>
      <c r="G28" s="485">
        <f>SUM(B28:F28)</f>
        <v>2399356.76</v>
      </c>
    </row>
    <row r="29" spans="1:7" s="24" customFormat="1" ht="15" customHeight="1">
      <c r="A29" s="435" t="s">
        <v>436</v>
      </c>
      <c r="B29" s="485">
        <f t="shared" si="1"/>
        <v>9266.150000000001</v>
      </c>
      <c r="C29" s="485">
        <f t="shared" si="1"/>
        <v>20303.34</v>
      </c>
      <c r="D29" s="485">
        <f t="shared" si="1"/>
        <v>0</v>
      </c>
      <c r="E29" s="485">
        <f t="shared" si="1"/>
        <v>0</v>
      </c>
      <c r="F29" s="126">
        <f t="shared" si="1"/>
        <v>0</v>
      </c>
      <c r="G29" s="485">
        <f>SUM(B29:F29)</f>
        <v>29569.49</v>
      </c>
    </row>
    <row r="30" spans="1:7" s="24" customFormat="1" ht="15" customHeight="1" thickBot="1">
      <c r="A30" s="433" t="s">
        <v>425</v>
      </c>
      <c r="B30" s="544">
        <f>SUM(B27:B29)</f>
        <v>3662842.0500000003</v>
      </c>
      <c r="C30" s="544">
        <f>SUM(C27:C29)</f>
        <v>6671695.239999999</v>
      </c>
      <c r="D30" s="916">
        <f>SUM(D27:D29)</f>
        <v>-1672</v>
      </c>
      <c r="E30" s="916">
        <f>SUM(E27:E29)</f>
        <v>-1182</v>
      </c>
      <c r="F30" s="916">
        <f>SUM(F27:F29)</f>
        <v>-2194</v>
      </c>
      <c r="G30" s="544">
        <f>SUM(G27:G29)</f>
        <v>10329489.290000001</v>
      </c>
    </row>
    <row r="31" spans="1:7" s="24" customFormat="1" ht="15" customHeight="1" thickTop="1">
      <c r="A31" s="433"/>
      <c r="B31" s="477"/>
      <c r="C31" s="477"/>
      <c r="D31" s="477"/>
      <c r="E31" s="786"/>
      <c r="F31" s="786"/>
      <c r="G31" s="477"/>
    </row>
    <row r="32" spans="1:7" s="787" customFormat="1" ht="15" customHeight="1">
      <c r="A32" s="1006" t="s">
        <v>493</v>
      </c>
      <c r="B32" s="1006"/>
      <c r="C32" s="1006"/>
      <c r="D32" s="1006"/>
      <c r="E32" s="1006"/>
      <c r="F32" s="1006"/>
      <c r="G32" s="1006"/>
    </row>
    <row r="33" spans="1:7" s="787" customFormat="1" ht="15" customHeight="1">
      <c r="A33" s="1006"/>
      <c r="B33" s="1006"/>
      <c r="C33" s="1006"/>
      <c r="D33" s="1006"/>
      <c r="E33" s="1006"/>
      <c r="F33" s="1006"/>
      <c r="G33" s="1006"/>
    </row>
    <row r="34" spans="1:7" s="787" customFormat="1" ht="15" customHeight="1">
      <c r="A34" s="1006"/>
      <c r="B34" s="1006"/>
      <c r="C34" s="1006"/>
      <c r="D34" s="1006"/>
      <c r="E34" s="1006"/>
      <c r="F34" s="1006"/>
      <c r="G34" s="1006"/>
    </row>
    <row r="35" spans="1:7" ht="19.5" customHeight="1">
      <c r="A35" s="135"/>
      <c r="B35" s="1007" t="s">
        <v>9</v>
      </c>
      <c r="C35" s="1007" t="s">
        <v>36</v>
      </c>
      <c r="D35" s="135"/>
      <c r="E35" s="844"/>
      <c r="F35" s="1007" t="s">
        <v>9</v>
      </c>
      <c r="G35" s="1007" t="s">
        <v>36</v>
      </c>
    </row>
    <row r="36" spans="1:7" ht="19.5" customHeight="1">
      <c r="A36" s="845" t="s">
        <v>363</v>
      </c>
      <c r="B36" s="1007"/>
      <c r="C36" s="1007"/>
      <c r="D36" s="135"/>
      <c r="E36" s="846" t="s">
        <v>363</v>
      </c>
      <c r="F36" s="1007"/>
      <c r="G36" s="1007"/>
    </row>
    <row r="37" spans="1:8" ht="15" customHeight="1">
      <c r="A37" s="936" t="s">
        <v>5</v>
      </c>
      <c r="B37" s="937">
        <v>1352322.33</v>
      </c>
      <c r="C37" s="937">
        <v>1661120.75</v>
      </c>
      <c r="D37" s="896" t="s">
        <v>6</v>
      </c>
      <c r="E37" s="937">
        <v>240955.17</v>
      </c>
      <c r="F37" s="937">
        <v>1128476.87</v>
      </c>
      <c r="G37" s="937">
        <f>E37+F37</f>
        <v>1369432.04</v>
      </c>
      <c r="H37" s="4"/>
    </row>
    <row r="38" spans="1:8" ht="15" customHeight="1">
      <c r="A38" s="936" t="s">
        <v>500</v>
      </c>
      <c r="B38" s="937">
        <v>1298046.26</v>
      </c>
      <c r="C38" s="937">
        <v>1588302.81</v>
      </c>
      <c r="D38" s="896" t="s">
        <v>7</v>
      </c>
      <c r="E38" s="937">
        <v>232320.68</v>
      </c>
      <c r="F38" s="937">
        <v>1099803.02</v>
      </c>
      <c r="G38" s="937">
        <f>E38+F38</f>
        <v>1332123.7</v>
      </c>
      <c r="H38" s="4"/>
    </row>
    <row r="39" spans="1:8" ht="15" customHeight="1">
      <c r="A39" s="936" t="s">
        <v>501</v>
      </c>
      <c r="B39" s="937">
        <v>1251408.19</v>
      </c>
      <c r="C39" s="937">
        <v>1527241.19</v>
      </c>
      <c r="D39" s="896" t="s">
        <v>494</v>
      </c>
      <c r="E39" s="937">
        <v>222824.37</v>
      </c>
      <c r="F39" s="937">
        <v>1065250.7199999997</v>
      </c>
      <c r="G39" s="937">
        <f>E39+F39</f>
        <v>1288075.0899999999</v>
      </c>
      <c r="H39" s="4"/>
    </row>
    <row r="40" spans="1:8" ht="15" customHeight="1">
      <c r="A40" s="936" t="s">
        <v>502</v>
      </c>
      <c r="B40" s="937">
        <v>1202886.26</v>
      </c>
      <c r="C40" s="937">
        <v>1460098.77</v>
      </c>
      <c r="D40" s="896"/>
      <c r="E40" s="847"/>
      <c r="F40" s="847"/>
      <c r="G40" s="847"/>
      <c r="H40" s="4"/>
    </row>
    <row r="41" spans="1:7" s="135" customFormat="1" ht="15" customHeight="1">
      <c r="A41" s="848"/>
      <c r="B41" s="849"/>
      <c r="C41" s="849"/>
      <c r="D41" s="849"/>
      <c r="E41" s="848"/>
      <c r="F41" s="850"/>
      <c r="G41" s="850"/>
    </row>
    <row r="42" spans="1:7" s="135" customFormat="1" ht="15" customHeight="1">
      <c r="A42" s="1006" t="s">
        <v>12</v>
      </c>
      <c r="B42" s="1006"/>
      <c r="C42" s="1006"/>
      <c r="D42" s="1006"/>
      <c r="E42" s="1006"/>
      <c r="F42" s="1006"/>
      <c r="G42" s="1006"/>
    </row>
    <row r="43" spans="1:7" s="135" customFormat="1" ht="15" customHeight="1">
      <c r="A43" s="1006"/>
      <c r="B43" s="1006"/>
      <c r="C43" s="1006"/>
      <c r="D43" s="1006"/>
      <c r="E43" s="1006"/>
      <c r="F43" s="1006"/>
      <c r="G43" s="1006"/>
    </row>
    <row r="44" spans="1:7" s="135" customFormat="1" ht="15" customHeight="1">
      <c r="A44" s="848"/>
      <c r="B44" s="849"/>
      <c r="C44" s="849"/>
      <c r="D44" s="849"/>
      <c r="E44" s="848"/>
      <c r="F44" s="850"/>
      <c r="G44" s="850"/>
    </row>
    <row r="45" spans="1:7" s="135" customFormat="1" ht="15" customHeight="1">
      <c r="A45" s="848"/>
      <c r="B45" s="849"/>
      <c r="C45" s="849"/>
      <c r="D45" s="849"/>
      <c r="E45" s="848"/>
      <c r="F45" s="850"/>
      <c r="G45" s="850"/>
    </row>
    <row r="46" spans="1:7" s="135" customFormat="1" ht="15" customHeight="1">
      <c r="A46" s="848"/>
      <c r="B46" s="849"/>
      <c r="C46" s="849"/>
      <c r="D46" s="849"/>
      <c r="E46" s="848"/>
      <c r="F46" s="850"/>
      <c r="G46" s="850"/>
    </row>
    <row r="47" spans="1:7" s="135" customFormat="1" ht="15" customHeight="1">
      <c r="A47" s="848"/>
      <c r="B47" s="849"/>
      <c r="C47" s="849"/>
      <c r="D47" s="849"/>
      <c r="E47" s="848"/>
      <c r="F47" s="850"/>
      <c r="G47" s="850"/>
    </row>
    <row r="48" spans="1:7" s="135" customFormat="1" ht="15" customHeight="1">
      <c r="A48" s="848"/>
      <c r="B48" s="849"/>
      <c r="C48" s="849"/>
      <c r="D48" s="849"/>
      <c r="E48" s="848"/>
      <c r="F48" s="850"/>
      <c r="G48" s="850"/>
    </row>
    <row r="49" spans="1:7" s="135" customFormat="1" ht="15" customHeight="1">
      <c r="A49" s="848"/>
      <c r="B49" s="849"/>
      <c r="C49" s="849"/>
      <c r="D49" s="849"/>
      <c r="E49" s="848"/>
      <c r="F49" s="850"/>
      <c r="G49" s="850"/>
    </row>
    <row r="50" spans="1:7" s="135" customFormat="1" ht="15" customHeight="1">
      <c r="A50" s="848"/>
      <c r="B50" s="849"/>
      <c r="C50" s="849"/>
      <c r="D50" s="849"/>
      <c r="E50" s="848"/>
      <c r="F50" s="850"/>
      <c r="G50" s="850"/>
    </row>
    <row r="51" spans="1:7" s="135" customFormat="1" ht="15" customHeight="1">
      <c r="A51" s="848"/>
      <c r="B51" s="849"/>
      <c r="C51" s="849"/>
      <c r="D51" s="849"/>
      <c r="E51" s="848"/>
      <c r="F51" s="850"/>
      <c r="G51" s="850"/>
    </row>
    <row r="52" spans="1:7" s="135" customFormat="1" ht="15" customHeight="1">
      <c r="A52" s="848"/>
      <c r="B52" s="849"/>
      <c r="C52" s="849"/>
      <c r="D52" s="849"/>
      <c r="E52" s="848"/>
      <c r="F52" s="850"/>
      <c r="G52" s="850"/>
    </row>
    <row r="53" spans="1:7" s="135" customFormat="1" ht="15" customHeight="1">
      <c r="A53" s="848"/>
      <c r="B53" s="849"/>
      <c r="C53" s="849"/>
      <c r="D53" s="849"/>
      <c r="E53" s="848"/>
      <c r="F53" s="850"/>
      <c r="G53" s="850"/>
    </row>
    <row r="54" spans="1:7" s="135" customFormat="1" ht="15" customHeight="1">
      <c r="A54" s="848"/>
      <c r="B54" s="849"/>
      <c r="C54" s="849"/>
      <c r="D54" s="849"/>
      <c r="E54" s="848"/>
      <c r="F54" s="850"/>
      <c r="G54" s="850"/>
    </row>
    <row r="55" spans="1:7" s="135" customFormat="1" ht="15" customHeight="1">
      <c r="A55" s="848"/>
      <c r="B55" s="849"/>
      <c r="C55" s="849"/>
      <c r="D55" s="849"/>
      <c r="E55" s="848"/>
      <c r="F55" s="850"/>
      <c r="G55" s="850"/>
    </row>
    <row r="56" spans="1:7" s="135" customFormat="1" ht="15" customHeight="1">
      <c r="A56" s="848"/>
      <c r="B56" s="849"/>
      <c r="C56" s="849"/>
      <c r="D56" s="849"/>
      <c r="E56" s="848"/>
      <c r="F56" s="850"/>
      <c r="G56" s="850"/>
    </row>
    <row r="57" spans="1:7" s="135" customFormat="1" ht="15" customHeight="1">
      <c r="A57" s="848"/>
      <c r="B57" s="849"/>
      <c r="C57" s="849"/>
      <c r="D57" s="849"/>
      <c r="E57" s="848"/>
      <c r="F57" s="850"/>
      <c r="G57" s="850"/>
    </row>
    <row r="58" spans="1:7" s="135" customFormat="1" ht="15" customHeight="1">
      <c r="A58" s="848"/>
      <c r="B58" s="849"/>
      <c r="C58" s="849"/>
      <c r="D58" s="849"/>
      <c r="E58" s="848"/>
      <c r="F58" s="850"/>
      <c r="G58" s="850"/>
    </row>
  </sheetData>
  <sheetProtection/>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93" customWidth="1"/>
    <col min="2" max="4" width="16.7109375" style="565" customWidth="1"/>
    <col min="5" max="7" width="16.7109375" style="566" customWidth="1"/>
    <col min="8" max="16384" width="15.7109375" style="340" customWidth="1"/>
  </cols>
  <sheetData>
    <row r="1" spans="1:7" s="363" customFormat="1" ht="24.75" customHeight="1">
      <c r="A1" s="1008" t="s">
        <v>297</v>
      </c>
      <c r="B1" s="1008"/>
      <c r="C1" s="1008"/>
      <c r="D1" s="1008"/>
      <c r="E1" s="1008"/>
      <c r="F1" s="1008"/>
      <c r="G1" s="1008"/>
    </row>
    <row r="2" spans="1:7" s="166" customFormat="1" ht="15" customHeight="1">
      <c r="A2" s="889"/>
      <c r="B2" s="851"/>
      <c r="C2" s="851"/>
      <c r="D2" s="851"/>
      <c r="E2" s="851"/>
      <c r="F2" s="851"/>
      <c r="G2" s="851"/>
    </row>
    <row r="3" spans="1:7" s="167" customFormat="1" ht="15" customHeight="1">
      <c r="A3" s="1009" t="s">
        <v>431</v>
      </c>
      <c r="B3" s="1009"/>
      <c r="C3" s="1009"/>
      <c r="D3" s="1009"/>
      <c r="E3" s="1009"/>
      <c r="F3" s="1009"/>
      <c r="G3" s="1009"/>
    </row>
    <row r="4" spans="1:7" s="167" customFormat="1" ht="15" customHeight="1">
      <c r="A4" s="1009" t="s">
        <v>481</v>
      </c>
      <c r="B4" s="1009"/>
      <c r="C4" s="1009"/>
      <c r="D4" s="1009"/>
      <c r="E4" s="1009"/>
      <c r="F4" s="1009"/>
      <c r="G4" s="1009"/>
    </row>
    <row r="5" spans="1:7" s="364" customFormat="1" ht="15" customHeight="1">
      <c r="A5" s="889"/>
      <c r="B5" s="564"/>
      <c r="C5" s="564"/>
      <c r="D5" s="564"/>
      <c r="E5" s="851"/>
      <c r="F5" s="851"/>
      <c r="G5" s="851"/>
    </row>
    <row r="6" spans="2:7" ht="30" customHeight="1">
      <c r="B6" s="875" t="s">
        <v>3</v>
      </c>
      <c r="C6" s="875" t="s">
        <v>44</v>
      </c>
      <c r="D6" s="875" t="s">
        <v>41</v>
      </c>
      <c r="E6" s="875" t="s">
        <v>47</v>
      </c>
      <c r="F6" s="876" t="s">
        <v>4</v>
      </c>
      <c r="G6" s="875" t="s">
        <v>298</v>
      </c>
    </row>
    <row r="7" spans="1:7" ht="15" customHeight="1">
      <c r="A7" s="890" t="s">
        <v>432</v>
      </c>
      <c r="B7" s="852"/>
      <c r="C7" s="852"/>
      <c r="D7" s="852"/>
      <c r="E7" s="852"/>
      <c r="F7" s="852"/>
      <c r="G7" s="852"/>
    </row>
    <row r="8" spans="1:7" ht="15" customHeight="1">
      <c r="A8" s="890" t="s">
        <v>48</v>
      </c>
      <c r="B8" s="853"/>
      <c r="C8" s="853"/>
      <c r="D8" s="853"/>
      <c r="E8" s="853"/>
      <c r="F8" s="853"/>
      <c r="G8" s="853"/>
    </row>
    <row r="9" spans="1:7" ht="15" customHeight="1">
      <c r="A9" s="891" t="s">
        <v>434</v>
      </c>
      <c r="B9" s="907">
        <f>'[7]Loss Expenses Paid QTD-15'!E33</f>
        <v>452962.28</v>
      </c>
      <c r="C9" s="907">
        <f>'[7]Loss Expenses Paid QTD-15'!E27</f>
        <v>1201428.32</v>
      </c>
      <c r="D9" s="907">
        <f>'[7]Loss Expenses Paid QTD-15'!E21</f>
        <v>32500</v>
      </c>
      <c r="E9" s="854">
        <f>'[7]Loss Expenses Paid QTD-15'!E15</f>
        <v>0</v>
      </c>
      <c r="F9" s="907">
        <f>'[7]Loss Expenses Paid QTD-15'!E9+'[7]Trial Balance'!D284</f>
        <v>12521.48</v>
      </c>
      <c r="G9" s="907">
        <f>SUM(B9:F9)-1</f>
        <v>1699411.08</v>
      </c>
    </row>
    <row r="10" spans="1:7" ht="15" customHeight="1">
      <c r="A10" s="891" t="s">
        <v>435</v>
      </c>
      <c r="B10" s="854">
        <f>'[7]Loss Expenses Paid QTD-15'!E34+'[7]Trial Balance'!C293</f>
        <v>49832.39</v>
      </c>
      <c r="C10" s="854">
        <f>'[7]Loss Expenses Paid QTD-15'!E28+'[7]Trial Balance'!C291</f>
        <v>59459.65</v>
      </c>
      <c r="D10" s="911">
        <f>'[7]Loss Expenses Paid QTD-15'!E22+'[7]Trial Balance'!D288</f>
        <v>5517.78</v>
      </c>
      <c r="E10" s="854">
        <f>'[7]Loss Expenses Paid QTD-15'!E16</f>
        <v>0</v>
      </c>
      <c r="F10" s="854">
        <f>'[7]Loss Expenses Paid QTD-15'!E10</f>
        <v>0</v>
      </c>
      <c r="G10" s="854">
        <f>SUM(B10:F10)</f>
        <v>114809.82</v>
      </c>
    </row>
    <row r="11" spans="1:7" ht="15" customHeight="1">
      <c r="A11" s="891" t="s">
        <v>436</v>
      </c>
      <c r="B11" s="854">
        <f>'[7]Loss Expenses Paid QTD-15'!E35</f>
        <v>0</v>
      </c>
      <c r="C11" s="854">
        <f>'[7]Loss Expenses Paid QTD-15'!E29</f>
        <v>0</v>
      </c>
      <c r="D11" s="854">
        <f>'[7]Loss Expenses Paid QTD-15'!E23</f>
        <v>0</v>
      </c>
      <c r="E11" s="854">
        <f>'[7]Loss Expenses Paid QTD-15'!E17</f>
        <v>0</v>
      </c>
      <c r="F11" s="854">
        <f>'[7]Loss Expenses Paid QTD-15'!E11</f>
        <v>0</v>
      </c>
      <c r="G11" s="854">
        <f>SUM(B11:F11)</f>
        <v>0</v>
      </c>
    </row>
    <row r="12" spans="1:7" ht="15" customHeight="1" thickBot="1">
      <c r="A12" s="892" t="s">
        <v>425</v>
      </c>
      <c r="B12" s="829">
        <f>SUM(B9:B11)-1</f>
        <v>502793.67000000004</v>
      </c>
      <c r="C12" s="829">
        <f>SUM(C9:C11)</f>
        <v>1260887.97</v>
      </c>
      <c r="D12" s="914">
        <f>SUM(D9:D11)</f>
        <v>38017.78</v>
      </c>
      <c r="E12" s="855">
        <f>SUM(E9:E11)</f>
        <v>0</v>
      </c>
      <c r="F12" s="912">
        <f>SUM(F9:F11)</f>
        <v>12521.48</v>
      </c>
      <c r="G12" s="895">
        <f>SUM(G9:G11)</f>
        <v>1814220.9000000001</v>
      </c>
    </row>
    <row r="13" spans="1:7" ht="15" customHeight="1" thickTop="1">
      <c r="A13" s="890"/>
      <c r="B13" s="857"/>
      <c r="C13" s="857"/>
      <c r="D13" s="857"/>
      <c r="E13" s="854"/>
      <c r="F13" s="854"/>
      <c r="G13" s="854"/>
    </row>
    <row r="14" spans="1:7" ht="15" customHeight="1">
      <c r="A14" s="890" t="s">
        <v>487</v>
      </c>
      <c r="B14" s="857"/>
      <c r="C14" s="857"/>
      <c r="D14" s="857"/>
      <c r="E14" s="854"/>
      <c r="F14" s="854"/>
      <c r="G14" s="854"/>
    </row>
    <row r="15" spans="1:7" ht="15" customHeight="1">
      <c r="A15" s="891" t="s">
        <v>437</v>
      </c>
      <c r="B15" s="854">
        <f>'Losses Incurred YTD-10'!B15</f>
        <v>633375.74</v>
      </c>
      <c r="C15" s="854">
        <f>'Losses Incurred YTD-10'!C15</f>
        <v>721370</v>
      </c>
      <c r="D15" s="854">
        <f>'Losses Incurred YTD-10'!D15</f>
        <v>73355</v>
      </c>
      <c r="E15" s="854">
        <f>'Losses Incurred YTD-10'!E15</f>
        <v>46000</v>
      </c>
      <c r="F15" s="854">
        <f>'Losses Incurred YTD-10'!F15</f>
        <v>236980.6</v>
      </c>
      <c r="G15" s="854">
        <f>SUM(B15:F15)+1</f>
        <v>1711082.34</v>
      </c>
    </row>
    <row r="16" spans="1:7" ht="15" customHeight="1">
      <c r="A16" s="891" t="s">
        <v>438</v>
      </c>
      <c r="B16" s="854">
        <f>'Losses Incurred YTD-10'!B16</f>
        <v>150946.54</v>
      </c>
      <c r="C16" s="854">
        <f>'Losses Incurred YTD-10'!C16</f>
        <v>89871.06</v>
      </c>
      <c r="D16" s="854">
        <f>'Losses Incurred YTD-10'!D16</f>
        <v>10000</v>
      </c>
      <c r="E16" s="854">
        <f>'Losses Incurred YTD-10'!E16</f>
        <v>0</v>
      </c>
      <c r="F16" s="854">
        <f>'Losses Incurred YTD-10'!F16</f>
        <v>0</v>
      </c>
      <c r="G16" s="854">
        <f>SUM(B16:F16)</f>
        <v>250817.6</v>
      </c>
    </row>
    <row r="17" spans="1:7" ht="15" customHeight="1">
      <c r="A17" s="891" t="s">
        <v>439</v>
      </c>
      <c r="B17" s="854">
        <f>'Losses Incurred YTD-10'!B17</f>
        <v>0</v>
      </c>
      <c r="C17" s="854">
        <f>'Losses Incurred YTD-10'!C17</f>
        <v>0</v>
      </c>
      <c r="D17" s="854">
        <f>'Losses Incurred YTD-10'!D17</f>
        <v>0</v>
      </c>
      <c r="E17" s="854">
        <f>'Losses Incurred YTD-10'!E17</f>
        <v>0</v>
      </c>
      <c r="F17" s="854">
        <f>'Losses Incurred YTD-10'!F17</f>
        <v>0</v>
      </c>
      <c r="G17" s="854">
        <f>SUM(B17:F17)</f>
        <v>0</v>
      </c>
    </row>
    <row r="18" spans="1:7" ht="15" customHeight="1" thickBot="1">
      <c r="A18" s="892" t="s">
        <v>425</v>
      </c>
      <c r="B18" s="829">
        <f>SUM(B15:B17)+1</f>
        <v>784323.28</v>
      </c>
      <c r="C18" s="829">
        <f>SUM(C15:C17)</f>
        <v>811241.06</v>
      </c>
      <c r="D18" s="829">
        <f>SUM(D15:D17)</f>
        <v>83355</v>
      </c>
      <c r="E18" s="855">
        <f>SUM(E15:E17)</f>
        <v>46000</v>
      </c>
      <c r="F18" s="855">
        <f>SUM(F15:F17)</f>
        <v>236980.6</v>
      </c>
      <c r="G18" s="856">
        <f>SUM(G15:G17)</f>
        <v>1961899.9400000002</v>
      </c>
    </row>
    <row r="19" spans="1:7" ht="15" customHeight="1" thickTop="1">
      <c r="A19" s="890"/>
      <c r="B19" s="827"/>
      <c r="C19" s="827"/>
      <c r="D19" s="827"/>
      <c r="E19" s="858"/>
      <c r="F19" s="858"/>
      <c r="G19" s="858"/>
    </row>
    <row r="20" spans="1:7" ht="15" customHeight="1">
      <c r="A20" s="890" t="s">
        <v>488</v>
      </c>
      <c r="B20" s="859"/>
      <c r="C20" s="859"/>
      <c r="D20" s="859"/>
      <c r="E20" s="859"/>
      <c r="F20" s="859"/>
      <c r="G20" s="859"/>
    </row>
    <row r="21" spans="1:7" ht="15" customHeight="1">
      <c r="A21" s="891" t="s">
        <v>437</v>
      </c>
      <c r="B21" s="854">
        <f>'Losses Incurred YTD-10'!B21</f>
        <v>291128.95</v>
      </c>
      <c r="C21" s="854">
        <f>'Losses Incurred YTD-10'!C21</f>
        <v>149247.21</v>
      </c>
      <c r="D21" s="854">
        <f>'Losses Incurred YTD-10'!D21</f>
        <v>8808.23</v>
      </c>
      <c r="E21" s="854">
        <f>'Losses Incurred YTD-10'!E21</f>
        <v>0</v>
      </c>
      <c r="F21" s="854">
        <f>'Losses Incurred YTD-10'!F21</f>
        <v>0</v>
      </c>
      <c r="G21" s="854">
        <f>SUM(B21:F21)</f>
        <v>449184.39</v>
      </c>
    </row>
    <row r="22" spans="1:7" ht="15" customHeight="1">
      <c r="A22" s="891" t="s">
        <v>438</v>
      </c>
      <c r="B22" s="854">
        <f>'Losses Incurred YTD-10'!B22</f>
        <v>69382.05</v>
      </c>
      <c r="C22" s="854">
        <f>'Losses Incurred YTD-10'!C22</f>
        <v>18593.79</v>
      </c>
      <c r="D22" s="854">
        <f>'Losses Incurred YTD-10'!D22</f>
        <v>1200.77</v>
      </c>
      <c r="E22" s="854">
        <f>'Losses Incurred YTD-10'!E22</f>
        <v>0</v>
      </c>
      <c r="F22" s="854">
        <f>'Losses Incurred YTD-10'!F22</f>
        <v>0</v>
      </c>
      <c r="G22" s="854">
        <f>SUM(B22:F22)</f>
        <v>89176.61</v>
      </c>
    </row>
    <row r="23" spans="1:7" ht="15" customHeight="1">
      <c r="A23" s="891" t="s">
        <v>439</v>
      </c>
      <c r="B23" s="854">
        <f>'Losses Incurred YTD-10'!B23</f>
        <v>0</v>
      </c>
      <c r="C23" s="854">
        <f>'Losses Incurred YTD-10'!C23</f>
        <v>0</v>
      </c>
      <c r="D23" s="854">
        <f>'Losses Incurred YTD-10'!D23</f>
        <v>0</v>
      </c>
      <c r="E23" s="854">
        <f>'Losses Incurred YTD-10'!E23</f>
        <v>0</v>
      </c>
      <c r="F23" s="854">
        <f>'Losses Incurred YTD-10'!F23</f>
        <v>0</v>
      </c>
      <c r="G23" s="854">
        <f>SUM(B23:F23)</f>
        <v>0</v>
      </c>
    </row>
    <row r="24" spans="1:7" ht="15" customHeight="1" thickBot="1">
      <c r="A24" s="892" t="s">
        <v>425</v>
      </c>
      <c r="B24" s="829">
        <f aca="true" t="shared" si="0" ref="B24:G24">SUM(B21:B23)</f>
        <v>360511</v>
      </c>
      <c r="C24" s="829">
        <f t="shared" si="0"/>
        <v>167841</v>
      </c>
      <c r="D24" s="829">
        <f t="shared" si="0"/>
        <v>10009</v>
      </c>
      <c r="E24" s="855">
        <f t="shared" si="0"/>
        <v>0</v>
      </c>
      <c r="F24" s="855">
        <f t="shared" si="0"/>
        <v>0</v>
      </c>
      <c r="G24" s="856">
        <f t="shared" si="0"/>
        <v>538361</v>
      </c>
    </row>
    <row r="25" spans="1:7" ht="15" customHeight="1" thickTop="1">
      <c r="A25" s="890"/>
      <c r="B25" s="857"/>
      <c r="C25" s="857"/>
      <c r="D25" s="857"/>
      <c r="E25" s="854"/>
      <c r="F25" s="854"/>
      <c r="G25" s="854"/>
    </row>
    <row r="26" spans="1:7" ht="15" customHeight="1">
      <c r="A26" s="890" t="s">
        <v>491</v>
      </c>
      <c r="B26" s="860"/>
      <c r="C26" s="860"/>
      <c r="D26" s="860"/>
      <c r="E26" s="854"/>
      <c r="F26" s="854"/>
      <c r="G26" s="854"/>
    </row>
    <row r="27" spans="1:7" ht="15" customHeight="1">
      <c r="A27" s="890" t="s">
        <v>49</v>
      </c>
      <c r="B27" s="860"/>
      <c r="C27" s="860"/>
      <c r="D27" s="860"/>
      <c r="E27" s="854"/>
      <c r="F27" s="854"/>
      <c r="G27" s="854"/>
    </row>
    <row r="28" spans="1:7" ht="15" customHeight="1">
      <c r="A28" s="891" t="s">
        <v>437</v>
      </c>
      <c r="B28" s="857">
        <v>338234.62</v>
      </c>
      <c r="C28" s="857">
        <v>1477464</v>
      </c>
      <c r="D28" s="915">
        <v>85585.48</v>
      </c>
      <c r="E28" s="857">
        <v>49500</v>
      </c>
      <c r="F28" s="857">
        <v>246980.6</v>
      </c>
      <c r="G28" s="854">
        <f>SUM(B28:F28)</f>
        <v>2197764.7</v>
      </c>
    </row>
    <row r="29" spans="1:7" ht="15" customHeight="1">
      <c r="A29" s="891" t="s">
        <v>438</v>
      </c>
      <c r="B29" s="857">
        <v>43768.44</v>
      </c>
      <c r="C29" s="857">
        <v>101674.58</v>
      </c>
      <c r="D29" s="857">
        <v>26169.52</v>
      </c>
      <c r="E29" s="857">
        <v>0</v>
      </c>
      <c r="F29" s="857">
        <v>0</v>
      </c>
      <c r="G29" s="854">
        <f>SUM(B29:F29)</f>
        <v>171612.54</v>
      </c>
    </row>
    <row r="30" spans="1:7" ht="15" customHeight="1">
      <c r="A30" s="891" t="s">
        <v>439</v>
      </c>
      <c r="B30" s="857">
        <v>0</v>
      </c>
      <c r="C30" s="857">
        <v>0</v>
      </c>
      <c r="D30" s="857">
        <v>0</v>
      </c>
      <c r="E30" s="857">
        <v>0</v>
      </c>
      <c r="F30" s="857">
        <v>0</v>
      </c>
      <c r="G30" s="854">
        <f>SUM(B30:F30)</f>
        <v>0</v>
      </c>
    </row>
    <row r="31" spans="1:7" ht="15" customHeight="1" thickBot="1">
      <c r="A31" s="892" t="s">
        <v>425</v>
      </c>
      <c r="B31" s="829">
        <f>SUM(B28:B30)</f>
        <v>382003.06</v>
      </c>
      <c r="C31" s="829">
        <f>SUM(C28:C30)</f>
        <v>1579138.58</v>
      </c>
      <c r="D31" s="829">
        <f>SUM(D28:D30)</f>
        <v>111755</v>
      </c>
      <c r="E31" s="855">
        <f>SUM(E28:E30)</f>
        <v>49500</v>
      </c>
      <c r="F31" s="855">
        <f>SUM(F28:F30)</f>
        <v>246980.6</v>
      </c>
      <c r="G31" s="856">
        <f>SUM(G28:G30)+1</f>
        <v>2369378.24</v>
      </c>
    </row>
    <row r="32" spans="1:7" s="861" customFormat="1" ht="15" customHeight="1" thickTop="1">
      <c r="A32" s="890"/>
      <c r="B32" s="860"/>
      <c r="C32" s="860"/>
      <c r="D32" s="860"/>
      <c r="E32" s="860"/>
      <c r="F32" s="860"/>
      <c r="G32" s="860"/>
    </row>
    <row r="33" spans="1:7" ht="15" customHeight="1">
      <c r="A33" s="890" t="s">
        <v>440</v>
      </c>
      <c r="B33" s="857"/>
      <c r="C33" s="857"/>
      <c r="D33" s="857"/>
      <c r="E33" s="854"/>
      <c r="F33" s="854"/>
      <c r="G33" s="854"/>
    </row>
    <row r="34" spans="1:7" ht="15" customHeight="1">
      <c r="A34" s="891" t="s">
        <v>437</v>
      </c>
      <c r="B34" s="854">
        <f aca="true" t="shared" si="1" ref="B34:F36">B9+(B15+B21-B28)</f>
        <v>1039232.35</v>
      </c>
      <c r="C34" s="854">
        <f>C9+(C15+C21-C28)-1</f>
        <v>594580.53</v>
      </c>
      <c r="D34" s="911">
        <f>D9+(D15+D21-D28)</f>
        <v>29077.75</v>
      </c>
      <c r="E34" s="911">
        <f t="shared" si="1"/>
        <v>-3500</v>
      </c>
      <c r="F34" s="911">
        <f>F9+(F15+F21-F28)</f>
        <v>2521.4799999999996</v>
      </c>
      <c r="G34" s="854">
        <f>SUM(B34:F34)</f>
        <v>1661912.1099999999</v>
      </c>
    </row>
    <row r="35" spans="1:7" ht="15" customHeight="1">
      <c r="A35" s="891" t="s">
        <v>438</v>
      </c>
      <c r="B35" s="854">
        <f>B10+(B16+B22-B29)</f>
        <v>226392.54000000004</v>
      </c>
      <c r="C35" s="911">
        <f>C10+(C16+C22-C29)</f>
        <v>66249.92000000001</v>
      </c>
      <c r="D35" s="911">
        <f>D10+(D16+D22-D29)</f>
        <v>-9450.970000000001</v>
      </c>
      <c r="E35" s="854">
        <f>E10+(E16+E22-E29)</f>
        <v>0</v>
      </c>
      <c r="F35" s="854">
        <f t="shared" si="1"/>
        <v>0</v>
      </c>
      <c r="G35" s="854">
        <f>SUM(B35:F35)+1</f>
        <v>283192.4900000001</v>
      </c>
    </row>
    <row r="36" spans="1:7" ht="15" customHeight="1">
      <c r="A36" s="891" t="s">
        <v>439</v>
      </c>
      <c r="B36" s="854">
        <f t="shared" si="1"/>
        <v>0</v>
      </c>
      <c r="C36" s="854">
        <f t="shared" si="1"/>
        <v>0</v>
      </c>
      <c r="D36" s="854">
        <f t="shared" si="1"/>
        <v>0</v>
      </c>
      <c r="E36" s="854">
        <f t="shared" si="1"/>
        <v>0</v>
      </c>
      <c r="F36" s="854">
        <f t="shared" si="1"/>
        <v>0</v>
      </c>
      <c r="G36" s="854">
        <f>SUM(B36:F36)</f>
        <v>0</v>
      </c>
    </row>
    <row r="37" spans="1:7" ht="15" customHeight="1" thickBot="1">
      <c r="A37" s="892" t="s">
        <v>425</v>
      </c>
      <c r="B37" s="862">
        <f>SUM(B34:B36)</f>
        <v>1265624.8900000001</v>
      </c>
      <c r="C37" s="862">
        <f>SUM(C34:C36)+1</f>
        <v>660831.4500000001</v>
      </c>
      <c r="D37" s="913">
        <f>SUM(D34:D36)</f>
        <v>19626.78</v>
      </c>
      <c r="E37" s="913">
        <f>SUM(E34:E36)</f>
        <v>-3500</v>
      </c>
      <c r="F37" s="913">
        <f>SUM(F34:F36)</f>
        <v>2521.4799999999996</v>
      </c>
      <c r="G37" s="913">
        <f>SUM(G34:G36)-1</f>
        <v>1945103.6</v>
      </c>
    </row>
    <row r="38" spans="2:7" ht="15" customHeight="1" thickTop="1">
      <c r="B38" s="859"/>
      <c r="C38" s="859"/>
      <c r="D38" s="859"/>
      <c r="G38" s="863"/>
    </row>
    <row r="39" spans="1:7" s="783" customFormat="1" ht="15" customHeight="1">
      <c r="A39" s="894"/>
      <c r="B39" s="784"/>
      <c r="C39" s="784"/>
      <c r="D39" s="784"/>
      <c r="E39" s="785"/>
      <c r="F39" s="785"/>
      <c r="G39" s="785"/>
    </row>
    <row r="40" spans="2:4" ht="15" customHeight="1">
      <c r="B40" s="852"/>
      <c r="C40" s="852"/>
      <c r="D40" s="852"/>
    </row>
    <row r="41" spans="2:4" ht="15" customHeight="1">
      <c r="B41" s="852"/>
      <c r="C41" s="852"/>
      <c r="D41" s="852"/>
    </row>
    <row r="42" spans="2:4" ht="15" customHeight="1">
      <c r="B42" s="852"/>
      <c r="C42" s="852"/>
      <c r="D42" s="852"/>
    </row>
    <row r="43" spans="1:4" ht="15" customHeight="1">
      <c r="A43" s="889"/>
      <c r="B43" s="852"/>
      <c r="C43" s="852"/>
      <c r="D43" s="852"/>
    </row>
    <row r="44" spans="1:4" ht="15" customHeight="1">
      <c r="A44" s="889"/>
      <c r="B44" s="852"/>
      <c r="C44" s="852"/>
      <c r="D44" s="852"/>
    </row>
    <row r="45" spans="1:4" ht="15" customHeight="1">
      <c r="A45" s="889"/>
      <c r="B45" s="852"/>
      <c r="C45" s="852"/>
      <c r="D45" s="852"/>
    </row>
    <row r="46" spans="1:4" ht="15" customHeight="1">
      <c r="A46" s="889"/>
      <c r="B46" s="852"/>
      <c r="C46" s="852"/>
      <c r="D46" s="852"/>
    </row>
    <row r="47" spans="1:4" ht="15" customHeight="1">
      <c r="A47" s="889"/>
      <c r="B47" s="852"/>
      <c r="C47" s="852"/>
      <c r="D47" s="852"/>
    </row>
    <row r="48" spans="1:4" ht="15" customHeight="1">
      <c r="A48" s="889"/>
      <c r="B48" s="852"/>
      <c r="C48" s="852"/>
      <c r="D48" s="852"/>
    </row>
    <row r="49" spans="1:4" ht="15" customHeight="1">
      <c r="A49" s="889"/>
      <c r="B49" s="852"/>
      <c r="C49" s="852"/>
      <c r="D49" s="852"/>
    </row>
    <row r="50" spans="1:4" ht="15" customHeight="1">
      <c r="A50" s="889"/>
      <c r="B50" s="852"/>
      <c r="C50" s="852"/>
      <c r="D50" s="852"/>
    </row>
    <row r="51" spans="1:4" ht="15" customHeight="1">
      <c r="A51" s="889"/>
      <c r="B51" s="852"/>
      <c r="C51" s="852"/>
      <c r="D51" s="852"/>
    </row>
    <row r="52" spans="1:4" ht="15" customHeight="1">
      <c r="A52" s="889"/>
      <c r="B52" s="852"/>
      <c r="C52" s="852"/>
      <c r="D52" s="852"/>
    </row>
    <row r="53" spans="1:4" ht="15" customHeight="1">
      <c r="A53" s="889"/>
      <c r="B53" s="852"/>
      <c r="C53" s="852"/>
      <c r="D53" s="852"/>
    </row>
    <row r="54" spans="1:4" ht="15" customHeight="1">
      <c r="A54" s="889"/>
      <c r="B54" s="852"/>
      <c r="C54" s="852"/>
      <c r="D54" s="852"/>
    </row>
    <row r="55" ht="15" customHeight="1">
      <c r="A55" s="889"/>
    </row>
    <row r="56" ht="15" customHeight="1">
      <c r="A56" s="889"/>
    </row>
    <row r="57" ht="15" customHeight="1">
      <c r="A57" s="889"/>
    </row>
    <row r="58" ht="15" customHeight="1">
      <c r="A58" s="889"/>
    </row>
    <row r="59" ht="15" customHeight="1">
      <c r="A59" s="889"/>
    </row>
    <row r="60" ht="15" customHeight="1">
      <c r="A60" s="889"/>
    </row>
    <row r="61" ht="15" customHeight="1">
      <c r="A61" s="889"/>
    </row>
    <row r="62" ht="15" customHeight="1">
      <c r="A62" s="889"/>
    </row>
    <row r="63" ht="15" customHeight="1">
      <c r="A63" s="889"/>
    </row>
    <row r="64" ht="15" customHeight="1">
      <c r="A64" s="889"/>
    </row>
    <row r="65" ht="15" customHeight="1">
      <c r="A65" s="889"/>
    </row>
    <row r="66" ht="15" customHeight="1">
      <c r="A66" s="889"/>
    </row>
    <row r="67" ht="15" customHeight="1">
      <c r="A67" s="889"/>
    </row>
    <row r="68" ht="15" customHeight="1">
      <c r="A68" s="889"/>
    </row>
    <row r="69" ht="15" customHeight="1">
      <c r="A69" s="889"/>
    </row>
    <row r="70" ht="15" customHeight="1">
      <c r="A70" s="889"/>
    </row>
    <row r="71" ht="15" customHeight="1">
      <c r="A71" s="889"/>
    </row>
    <row r="72" ht="15" customHeight="1">
      <c r="A72" s="889"/>
    </row>
    <row r="73" ht="15" customHeight="1">
      <c r="A73" s="889"/>
    </row>
    <row r="74" ht="15" customHeight="1">
      <c r="A74" s="889"/>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93" customWidth="1"/>
    <col min="2" max="4" width="16.7109375" style="565" customWidth="1"/>
    <col min="5" max="7" width="16.7109375" style="566" customWidth="1"/>
    <col min="8" max="16384" width="15.7109375" style="340" customWidth="1"/>
  </cols>
  <sheetData>
    <row r="1" spans="1:7" s="363" customFormat="1" ht="24.75" customHeight="1">
      <c r="A1" s="1008" t="s">
        <v>297</v>
      </c>
      <c r="B1" s="1008"/>
      <c r="C1" s="1008"/>
      <c r="D1" s="1008"/>
      <c r="E1" s="1008"/>
      <c r="F1" s="1008"/>
      <c r="G1" s="1008"/>
    </row>
    <row r="2" spans="1:7" s="166" customFormat="1" ht="15" customHeight="1">
      <c r="A2" s="889"/>
      <c r="B2" s="851"/>
      <c r="C2" s="851"/>
      <c r="D2" s="851"/>
      <c r="E2" s="851"/>
      <c r="F2" s="851"/>
      <c r="G2" s="851"/>
    </row>
    <row r="3" spans="1:7" s="167" customFormat="1" ht="15" customHeight="1">
      <c r="A3" s="1009" t="s">
        <v>431</v>
      </c>
      <c r="B3" s="1009"/>
      <c r="C3" s="1009"/>
      <c r="D3" s="1009"/>
      <c r="E3" s="1009"/>
      <c r="F3" s="1009"/>
      <c r="G3" s="1009"/>
    </row>
    <row r="4" spans="1:7" s="167" customFormat="1" ht="15" customHeight="1">
      <c r="A4" s="1009" t="s">
        <v>482</v>
      </c>
      <c r="B4" s="1009"/>
      <c r="C4" s="1009"/>
      <c r="D4" s="1009"/>
      <c r="E4" s="1009"/>
      <c r="F4" s="1009"/>
      <c r="G4" s="1009"/>
    </row>
    <row r="5" spans="1:7" s="364" customFormat="1" ht="15" customHeight="1">
      <c r="A5" s="889"/>
      <c r="B5" s="564"/>
      <c r="C5" s="564"/>
      <c r="D5" s="564"/>
      <c r="E5" s="851"/>
      <c r="F5" s="851"/>
      <c r="G5" s="851"/>
    </row>
    <row r="6" spans="2:7" ht="30" customHeight="1">
      <c r="B6" s="875" t="s">
        <v>3</v>
      </c>
      <c r="C6" s="875" t="s">
        <v>44</v>
      </c>
      <c r="D6" s="875" t="s">
        <v>41</v>
      </c>
      <c r="E6" s="875" t="s">
        <v>47</v>
      </c>
      <c r="F6" s="876" t="s">
        <v>4</v>
      </c>
      <c r="G6" s="875" t="s">
        <v>298</v>
      </c>
    </row>
    <row r="7" spans="1:7" ht="15" customHeight="1">
      <c r="A7" s="890" t="s">
        <v>432</v>
      </c>
      <c r="B7" s="852"/>
      <c r="C7" s="852"/>
      <c r="D7" s="852"/>
      <c r="E7" s="852"/>
      <c r="F7" s="852"/>
      <c r="G7" s="852"/>
    </row>
    <row r="8" spans="1:7" ht="15" customHeight="1">
      <c r="A8" s="890" t="s">
        <v>48</v>
      </c>
      <c r="B8" s="853"/>
      <c r="C8" s="853"/>
      <c r="D8" s="853"/>
      <c r="E8" s="853"/>
      <c r="F8" s="853"/>
      <c r="G8" s="853"/>
    </row>
    <row r="9" spans="1:7" ht="15" customHeight="1">
      <c r="A9" s="891" t="s">
        <v>434</v>
      </c>
      <c r="B9" s="907">
        <f>'[7]Loss Expenses Paid YTD-16'!E33</f>
        <v>1165482.3</v>
      </c>
      <c r="C9" s="907">
        <f>'[7]Loss Expenses Paid YTD-16'!E27+'[7]Trial Balance'!E290</f>
        <v>3666483.28</v>
      </c>
      <c r="D9" s="907">
        <f>'[7]Loss Expenses Paid YTD-16'!E21</f>
        <v>286676.83</v>
      </c>
      <c r="E9" s="907">
        <f>'[7]Loss Expenses Paid YTD-16'!E15</f>
        <v>26049.88</v>
      </c>
      <c r="F9" s="907">
        <f>'[7]Loss Expenses Paid YTD-16'!E9+'[7]Trial Balance'!F284</f>
        <v>-58864.119999999995</v>
      </c>
      <c r="G9" s="907">
        <f>SUM(B9:F9)</f>
        <v>5085828.17</v>
      </c>
    </row>
    <row r="10" spans="1:7" ht="15" customHeight="1">
      <c r="A10" s="891" t="s">
        <v>435</v>
      </c>
      <c r="B10" s="854">
        <f>'[7]Loss Expenses Paid YTD-16'!E34+'[7]Trial Balance'!E293</f>
        <v>80309.55</v>
      </c>
      <c r="C10" s="854">
        <f>'[7]Loss Expenses Paid YTD-16'!E28+'[7]Trial Balance'!E291</f>
        <v>329665.53</v>
      </c>
      <c r="D10" s="854">
        <f>'[7]Loss Expenses Paid YTD-16'!E22+'[7]Trial Balance'!F288</f>
        <v>37316.479999999996</v>
      </c>
      <c r="E10" s="911">
        <f>'[7]Trial Balance'!F286</f>
        <v>-1392.79</v>
      </c>
      <c r="F10" s="854">
        <f>'[7]Loss Expenses Paid YTD-16'!E10</f>
        <v>0</v>
      </c>
      <c r="G10" s="854">
        <f>SUM(B10:F10)</f>
        <v>445898.77</v>
      </c>
    </row>
    <row r="11" spans="1:7" ht="15" customHeight="1">
      <c r="A11" s="891" t="s">
        <v>436</v>
      </c>
      <c r="B11" s="854">
        <f>'[7]Loss Expenses Paid YTD-16'!E35</f>
        <v>0</v>
      </c>
      <c r="C11" s="854">
        <f>'[7]Loss Expenses Paid YTD-16'!E29</f>
        <v>0</v>
      </c>
      <c r="D11" s="854">
        <f>'[7]Loss Expenses Paid YTD-16'!E23</f>
        <v>0</v>
      </c>
      <c r="E11" s="854">
        <f>'[7]Loss Expenses Paid YTD-16'!E17</f>
        <v>0</v>
      </c>
      <c r="F11" s="854">
        <f>'[7]Loss Expenses Paid YTD-16'!E11</f>
        <v>0</v>
      </c>
      <c r="G11" s="854">
        <f>SUM(B11:F11)</f>
        <v>0</v>
      </c>
    </row>
    <row r="12" spans="1:7" ht="15" customHeight="1" thickBot="1">
      <c r="A12" s="892" t="s">
        <v>425</v>
      </c>
      <c r="B12" s="829">
        <f aca="true" t="shared" si="0" ref="B12:G12">SUM(B9:B11)</f>
        <v>1245791.85</v>
      </c>
      <c r="C12" s="829">
        <f t="shared" si="0"/>
        <v>3996148.8099999996</v>
      </c>
      <c r="D12" s="829">
        <f t="shared" si="0"/>
        <v>323993.31</v>
      </c>
      <c r="E12" s="912">
        <f t="shared" si="0"/>
        <v>24657.09</v>
      </c>
      <c r="F12" s="912">
        <f t="shared" si="0"/>
        <v>-58864.119999999995</v>
      </c>
      <c r="G12" s="895">
        <f t="shared" si="0"/>
        <v>5531726.9399999995</v>
      </c>
    </row>
    <row r="13" spans="1:7" ht="15" customHeight="1" thickTop="1">
      <c r="A13" s="890"/>
      <c r="B13" s="857"/>
      <c r="C13" s="857"/>
      <c r="D13" s="857"/>
      <c r="E13" s="854"/>
      <c r="F13" s="854"/>
      <c r="G13" s="854"/>
    </row>
    <row r="14" spans="1:7" ht="15" customHeight="1">
      <c r="A14" s="890" t="s">
        <v>487</v>
      </c>
      <c r="B14" s="857"/>
      <c r="C14" s="857"/>
      <c r="D14" s="857"/>
      <c r="E14" s="854"/>
      <c r="F14" s="854"/>
      <c r="G14" s="854"/>
    </row>
    <row r="15" spans="1:7" ht="15" customHeight="1">
      <c r="A15" s="891" t="s">
        <v>437</v>
      </c>
      <c r="B15" s="854">
        <f>'[7]Unpaid Loss Reserves-13'!D35</f>
        <v>633375.74</v>
      </c>
      <c r="C15" s="854">
        <f>'[7]Unpaid Loss Reserves-13'!D28</f>
        <v>721370</v>
      </c>
      <c r="D15" s="854">
        <f>'[7]Unpaid Loss Reserves-13'!D22</f>
        <v>73355</v>
      </c>
      <c r="E15" s="854">
        <f>'[7]Unpaid Loss Reserves-13'!D15</f>
        <v>46000</v>
      </c>
      <c r="F15" s="854">
        <f>'[7]Unpaid Loss Reserves-13'!D8</f>
        <v>236980.6</v>
      </c>
      <c r="G15" s="854">
        <f>SUM(B15:F15)+1</f>
        <v>1711082.34</v>
      </c>
    </row>
    <row r="16" spans="1:7" ht="15" customHeight="1">
      <c r="A16" s="891" t="s">
        <v>438</v>
      </c>
      <c r="B16" s="854">
        <f>'[7]Unpaid Loss Reserves-13'!D36</f>
        <v>150946.54</v>
      </c>
      <c r="C16" s="854">
        <f>'[7]Unpaid Loss Reserves-13'!D29</f>
        <v>89871.06</v>
      </c>
      <c r="D16" s="854">
        <f>'[7]Unpaid Loss Reserves-13'!D23</f>
        <v>10000</v>
      </c>
      <c r="E16" s="854">
        <f>'[7]Unpaid Loss Reserves-13'!D16</f>
        <v>0</v>
      </c>
      <c r="F16" s="854">
        <f>'[7]Unpaid Loss Reserves-13'!D9</f>
        <v>0</v>
      </c>
      <c r="G16" s="854">
        <f>SUM(B16:F16)</f>
        <v>250817.6</v>
      </c>
    </row>
    <row r="17" spans="1:7" ht="15" customHeight="1">
      <c r="A17" s="891" t="s">
        <v>439</v>
      </c>
      <c r="B17" s="854">
        <f>'[7]Unpaid Loss Reserves-13'!D37</f>
        <v>0</v>
      </c>
      <c r="C17" s="854">
        <f>'[7]Unpaid Loss Reserves-13'!D30</f>
        <v>0</v>
      </c>
      <c r="D17" s="854">
        <f>'[7]Unpaid Loss Reserves-13'!D24</f>
        <v>0</v>
      </c>
      <c r="E17" s="854">
        <f>'[7]Unpaid Loss Reserves-13'!D17</f>
        <v>0</v>
      </c>
      <c r="F17" s="854">
        <f>'[7]Unpaid Loss Reserves-13'!D10</f>
        <v>0</v>
      </c>
      <c r="G17" s="854">
        <f>SUM(B17:F17)</f>
        <v>0</v>
      </c>
    </row>
    <row r="18" spans="1:7" ht="15" customHeight="1" thickBot="1">
      <c r="A18" s="892" t="s">
        <v>425</v>
      </c>
      <c r="B18" s="829">
        <f>SUM(B15:B17)+1</f>
        <v>784323.28</v>
      </c>
      <c r="C18" s="829">
        <f>SUM(C15:C17)</f>
        <v>811241.06</v>
      </c>
      <c r="D18" s="829">
        <f>SUM(D15:D17)</f>
        <v>83355</v>
      </c>
      <c r="E18" s="855">
        <f>SUM(E15:E17)</f>
        <v>46000</v>
      </c>
      <c r="F18" s="855">
        <f>SUM(F15:F17)</f>
        <v>236980.6</v>
      </c>
      <c r="G18" s="856">
        <f>SUM(G15:G17)</f>
        <v>1961899.9400000002</v>
      </c>
    </row>
    <row r="19" spans="1:7" ht="15" customHeight="1" thickTop="1">
      <c r="A19" s="890"/>
      <c r="B19" s="827"/>
      <c r="C19" s="827"/>
      <c r="D19" s="827"/>
      <c r="E19" s="858"/>
      <c r="F19" s="858"/>
      <c r="G19" s="858"/>
    </row>
    <row r="20" spans="1:7" ht="15" customHeight="1">
      <c r="A20" s="890" t="s">
        <v>488</v>
      </c>
      <c r="B20" s="859"/>
      <c r="C20" s="859"/>
      <c r="D20" s="859"/>
      <c r="E20" s="859"/>
      <c r="F20" s="859"/>
      <c r="G20" s="859"/>
    </row>
    <row r="21" spans="1:7" ht="15" customHeight="1">
      <c r="A21" s="891" t="s">
        <v>437</v>
      </c>
      <c r="B21" s="854">
        <f>'[7]Unpaid Loss Reserves-13'!B35</f>
        <v>291128.95</v>
      </c>
      <c r="C21" s="854">
        <f>'[7]Unpaid Loss Reserves-13'!B28</f>
        <v>149247.21</v>
      </c>
      <c r="D21" s="854">
        <f>'[7]Unpaid Loss Reserves-13'!B22</f>
        <v>8808.23</v>
      </c>
      <c r="E21" s="854">
        <f>'[7]Unpaid Loss Reserves-13'!B15</f>
        <v>0</v>
      </c>
      <c r="F21" s="854">
        <f>'[7]Unpaid Loss Reserves-13'!B8</f>
        <v>0</v>
      </c>
      <c r="G21" s="854">
        <f>SUM(B21:F21)</f>
        <v>449184.39</v>
      </c>
    </row>
    <row r="22" spans="1:7" ht="15" customHeight="1">
      <c r="A22" s="891" t="s">
        <v>438</v>
      </c>
      <c r="B22" s="854">
        <f>'[7]Unpaid Loss Reserves-13'!B36</f>
        <v>69382.05</v>
      </c>
      <c r="C22" s="854">
        <f>'[7]Unpaid Loss Reserves-13'!B29</f>
        <v>18593.79</v>
      </c>
      <c r="D22" s="854">
        <f>'[7]Unpaid Loss Reserves-13'!B23</f>
        <v>1200.77</v>
      </c>
      <c r="E22" s="854">
        <f>'[7]Unpaid Loss Reserves-13'!B16</f>
        <v>0</v>
      </c>
      <c r="F22" s="854">
        <f>'[7]Unpaid Loss Reserves-13'!B9</f>
        <v>0</v>
      </c>
      <c r="G22" s="854">
        <f>SUM(B22:F22)</f>
        <v>89176.61</v>
      </c>
    </row>
    <row r="23" spans="1:7" ht="15" customHeight="1">
      <c r="A23" s="891" t="s">
        <v>439</v>
      </c>
      <c r="B23" s="854">
        <f>'[7]Unpaid Loss Reserves-13'!B37</f>
        <v>0</v>
      </c>
      <c r="C23" s="854">
        <f>'[7]Unpaid Loss Reserves-13'!B30</f>
        <v>0</v>
      </c>
      <c r="D23" s="854">
        <f>'[7]Unpaid Loss Reserves-13'!B24</f>
        <v>0</v>
      </c>
      <c r="E23" s="854">
        <f>'[7]Unpaid Loss Reserves-13'!B17</f>
        <v>0</v>
      </c>
      <c r="F23" s="854">
        <f>'[7]Unpaid Loss Reserves-13'!B10</f>
        <v>0</v>
      </c>
      <c r="G23" s="854">
        <f>SUM(B23:F23)</f>
        <v>0</v>
      </c>
    </row>
    <row r="24" spans="1:7" ht="15" customHeight="1" thickBot="1">
      <c r="A24" s="892" t="s">
        <v>425</v>
      </c>
      <c r="B24" s="829">
        <f aca="true" t="shared" si="1" ref="B24:G24">SUM(B21:B23)</f>
        <v>360511</v>
      </c>
      <c r="C24" s="829">
        <f t="shared" si="1"/>
        <v>167841</v>
      </c>
      <c r="D24" s="829">
        <f t="shared" si="1"/>
        <v>10009</v>
      </c>
      <c r="E24" s="855">
        <f t="shared" si="1"/>
        <v>0</v>
      </c>
      <c r="F24" s="855">
        <f t="shared" si="1"/>
        <v>0</v>
      </c>
      <c r="G24" s="856">
        <f t="shared" si="1"/>
        <v>538361</v>
      </c>
    </row>
    <row r="25" spans="1:7" ht="15" customHeight="1" thickTop="1">
      <c r="A25" s="890"/>
      <c r="B25" s="857"/>
      <c r="C25" s="857"/>
      <c r="D25" s="857"/>
      <c r="E25" s="854"/>
      <c r="F25" s="854"/>
      <c r="G25" s="854"/>
    </row>
    <row r="26" spans="1:7" ht="15" customHeight="1">
      <c r="A26" s="890" t="s">
        <v>1</v>
      </c>
      <c r="B26" s="860"/>
      <c r="C26" s="860"/>
      <c r="D26" s="860"/>
      <c r="E26" s="854"/>
      <c r="F26" s="854"/>
      <c r="G26" s="854"/>
    </row>
    <row r="27" spans="1:7" ht="15" customHeight="1">
      <c r="A27" s="890" t="s">
        <v>49</v>
      </c>
      <c r="B27" s="860"/>
      <c r="C27" s="860"/>
      <c r="D27" s="860"/>
      <c r="E27" s="854"/>
      <c r="F27" s="854"/>
      <c r="G27" s="854"/>
    </row>
    <row r="28" spans="1:7" ht="15" customHeight="1">
      <c r="A28" s="891" t="s">
        <v>437</v>
      </c>
      <c r="B28" s="857">
        <v>0</v>
      </c>
      <c r="C28" s="857">
        <v>2291722</v>
      </c>
      <c r="D28" s="857">
        <v>612564</v>
      </c>
      <c r="E28" s="857">
        <v>98500</v>
      </c>
      <c r="F28" s="857">
        <v>118981</v>
      </c>
      <c r="G28" s="854">
        <f>SUM(B28:F28)</f>
        <v>3121767</v>
      </c>
    </row>
    <row r="29" spans="1:7" ht="15" customHeight="1">
      <c r="A29" s="891" t="s">
        <v>438</v>
      </c>
      <c r="B29" s="857">
        <v>0</v>
      </c>
      <c r="C29" s="857">
        <v>65524</v>
      </c>
      <c r="D29" s="857">
        <v>57497</v>
      </c>
      <c r="E29" s="857">
        <v>0</v>
      </c>
      <c r="F29" s="857">
        <v>1000</v>
      </c>
      <c r="G29" s="854">
        <f>SUM(B29:F29)</f>
        <v>124021</v>
      </c>
    </row>
    <row r="30" spans="1:7" ht="15" customHeight="1">
      <c r="A30" s="891" t="s">
        <v>439</v>
      </c>
      <c r="B30" s="857">
        <v>0</v>
      </c>
      <c r="C30" s="857">
        <v>0</v>
      </c>
      <c r="D30" s="857">
        <v>0</v>
      </c>
      <c r="E30" s="857">
        <v>0</v>
      </c>
      <c r="F30" s="857">
        <v>0</v>
      </c>
      <c r="G30" s="854">
        <f>SUM(B30:F30)</f>
        <v>0</v>
      </c>
    </row>
    <row r="31" spans="1:7" ht="15" customHeight="1" thickBot="1">
      <c r="A31" s="892" t="s">
        <v>425</v>
      </c>
      <c r="B31" s="829">
        <f aca="true" t="shared" si="2" ref="B31:G31">SUM(B28:B30)</f>
        <v>0</v>
      </c>
      <c r="C31" s="829">
        <f t="shared" si="2"/>
        <v>2357246</v>
      </c>
      <c r="D31" s="829">
        <f t="shared" si="2"/>
        <v>670061</v>
      </c>
      <c r="E31" s="855">
        <f t="shared" si="2"/>
        <v>98500</v>
      </c>
      <c r="F31" s="855">
        <f>SUM(F28:F30)</f>
        <v>119981</v>
      </c>
      <c r="G31" s="856">
        <f t="shared" si="2"/>
        <v>3245788</v>
      </c>
    </row>
    <row r="32" spans="1:7" s="861" customFormat="1" ht="15" customHeight="1" thickTop="1">
      <c r="A32" s="890"/>
      <c r="B32" s="860"/>
      <c r="C32" s="860"/>
      <c r="D32" s="860"/>
      <c r="E32" s="860"/>
      <c r="F32" s="860"/>
      <c r="G32" s="860"/>
    </row>
    <row r="33" spans="1:7" ht="15" customHeight="1">
      <c r="A33" s="890" t="s">
        <v>440</v>
      </c>
      <c r="B33" s="857"/>
      <c r="C33" s="857"/>
      <c r="D33" s="857"/>
      <c r="E33" s="854"/>
      <c r="F33" s="854"/>
      <c r="G33" s="854"/>
    </row>
    <row r="34" spans="1:7" ht="15" customHeight="1">
      <c r="A34" s="891" t="s">
        <v>437</v>
      </c>
      <c r="B34" s="854">
        <f aca="true" t="shared" si="3" ref="B34:F36">B9+(B15+B21-B28)</f>
        <v>2089986.99</v>
      </c>
      <c r="C34" s="854">
        <f>C9+(C15+C21-C28)</f>
        <v>2245378.4899999998</v>
      </c>
      <c r="D34" s="911">
        <f t="shared" si="3"/>
        <v>-243723.94</v>
      </c>
      <c r="E34" s="911">
        <f t="shared" si="3"/>
        <v>-26450.12</v>
      </c>
      <c r="F34" s="911">
        <f>F9+(F15+F21-F28)+1</f>
        <v>59136.48000000001</v>
      </c>
      <c r="G34" s="854">
        <f>SUM(B34:F34)-1</f>
        <v>4124326.8999999994</v>
      </c>
    </row>
    <row r="35" spans="1:7" ht="15" customHeight="1">
      <c r="A35" s="891" t="s">
        <v>438</v>
      </c>
      <c r="B35" s="854">
        <f>B10+(B16+B22-B29)+1</f>
        <v>300639.14</v>
      </c>
      <c r="C35" s="854">
        <f>C10+(C16+C22-C29)+1</f>
        <v>372607.38</v>
      </c>
      <c r="D35" s="911">
        <f>D10+(D16+D22-D29)</f>
        <v>-8979.75</v>
      </c>
      <c r="E35" s="911">
        <f>E10+(E16+E22-E29)</f>
        <v>-1392.79</v>
      </c>
      <c r="F35" s="911">
        <f t="shared" si="3"/>
        <v>-1000</v>
      </c>
      <c r="G35" s="854">
        <f>SUM(B35:F35)-1</f>
        <v>661872.98</v>
      </c>
    </row>
    <row r="36" spans="1:7" ht="15" customHeight="1">
      <c r="A36" s="891" t="s">
        <v>439</v>
      </c>
      <c r="B36" s="854">
        <f t="shared" si="3"/>
        <v>0</v>
      </c>
      <c r="C36" s="854">
        <f t="shared" si="3"/>
        <v>0</v>
      </c>
      <c r="D36" s="854">
        <f t="shared" si="3"/>
        <v>0</v>
      </c>
      <c r="E36" s="854">
        <f t="shared" si="3"/>
        <v>0</v>
      </c>
      <c r="F36" s="854">
        <f t="shared" si="3"/>
        <v>0</v>
      </c>
      <c r="G36" s="854">
        <f>SUM(B36:F36)</f>
        <v>0</v>
      </c>
    </row>
    <row r="37" spans="1:7" ht="15" customHeight="1" thickBot="1">
      <c r="A37" s="892" t="s">
        <v>425</v>
      </c>
      <c r="B37" s="862">
        <f>SUM(B34:B36)</f>
        <v>2390626.13</v>
      </c>
      <c r="C37" s="862">
        <f>SUM(C34:C36)-1</f>
        <v>2617984.8699999996</v>
      </c>
      <c r="D37" s="913">
        <f>SUM(D34:D36)</f>
        <v>-252703.69</v>
      </c>
      <c r="E37" s="913">
        <f>SUM(E34:E36)</f>
        <v>-27842.91</v>
      </c>
      <c r="F37" s="913">
        <f>SUM(F34:F36)</f>
        <v>58136.48000000001</v>
      </c>
      <c r="G37" s="913">
        <f>SUM(G34:G36)</f>
        <v>4786199.879999999</v>
      </c>
    </row>
    <row r="38" spans="2:7" ht="15" customHeight="1" thickTop="1">
      <c r="B38" s="859"/>
      <c r="C38" s="859"/>
      <c r="D38" s="859"/>
      <c r="G38" s="854"/>
    </row>
    <row r="39" spans="1:7" s="783" customFormat="1" ht="15" customHeight="1">
      <c r="A39" s="894"/>
      <c r="B39" s="784"/>
      <c r="C39" s="784"/>
      <c r="D39" s="784"/>
      <c r="E39" s="785"/>
      <c r="F39" s="785"/>
      <c r="G39" s="854"/>
    </row>
    <row r="40" spans="2:4" ht="15" customHeight="1">
      <c r="B40" s="852"/>
      <c r="C40" s="852"/>
      <c r="D40" s="852"/>
    </row>
    <row r="41" spans="2:4" ht="15" customHeight="1">
      <c r="B41" s="852"/>
      <c r="C41" s="852"/>
      <c r="D41" s="852"/>
    </row>
    <row r="42" spans="2:4" ht="15" customHeight="1">
      <c r="B42" s="852"/>
      <c r="C42" s="852"/>
      <c r="D42" s="852"/>
    </row>
    <row r="43" spans="1:4" ht="15" customHeight="1">
      <c r="A43" s="889"/>
      <c r="B43" s="852"/>
      <c r="C43" s="852"/>
      <c r="D43" s="852"/>
    </row>
    <row r="44" spans="1:4" ht="15" customHeight="1">
      <c r="A44" s="889"/>
      <c r="B44" s="852"/>
      <c r="C44" s="852"/>
      <c r="D44" s="852"/>
    </row>
    <row r="45" spans="1:4" ht="15" customHeight="1">
      <c r="A45" s="889"/>
      <c r="B45" s="852"/>
      <c r="C45" s="852"/>
      <c r="D45" s="852"/>
    </row>
    <row r="46" spans="1:4" ht="15" customHeight="1">
      <c r="A46" s="889"/>
      <c r="B46" s="852"/>
      <c r="C46" s="852"/>
      <c r="D46" s="852"/>
    </row>
    <row r="47" spans="1:4" ht="15" customHeight="1">
      <c r="A47" s="889"/>
      <c r="B47" s="852"/>
      <c r="C47" s="852"/>
      <c r="D47" s="852"/>
    </row>
    <row r="48" spans="1:4" ht="15" customHeight="1">
      <c r="A48" s="889"/>
      <c r="B48" s="852"/>
      <c r="C48" s="852"/>
      <c r="D48" s="852"/>
    </row>
    <row r="49" spans="1:4" ht="15" customHeight="1">
      <c r="A49" s="889"/>
      <c r="B49" s="852"/>
      <c r="C49" s="852"/>
      <c r="D49" s="852"/>
    </row>
    <row r="50" spans="1:4" ht="15" customHeight="1">
      <c r="A50" s="889"/>
      <c r="B50" s="852"/>
      <c r="C50" s="852"/>
      <c r="D50" s="852"/>
    </row>
    <row r="51" spans="1:4" ht="15" customHeight="1">
      <c r="A51" s="889"/>
      <c r="B51" s="852"/>
      <c r="C51" s="852"/>
      <c r="D51" s="852"/>
    </row>
    <row r="52" spans="1:4" ht="15" customHeight="1">
      <c r="A52" s="889"/>
      <c r="B52" s="852"/>
      <c r="C52" s="852"/>
      <c r="D52" s="852"/>
    </row>
    <row r="53" spans="1:4" ht="15" customHeight="1">
      <c r="A53" s="889"/>
      <c r="B53" s="852"/>
      <c r="C53" s="852"/>
      <c r="D53" s="852"/>
    </row>
    <row r="54" spans="1:4" ht="15" customHeight="1">
      <c r="A54" s="889"/>
      <c r="B54" s="852"/>
      <c r="C54" s="852"/>
      <c r="D54" s="852"/>
    </row>
    <row r="55" ht="15" customHeight="1">
      <c r="A55" s="889"/>
    </row>
    <row r="56" ht="15" customHeight="1">
      <c r="A56" s="889"/>
    </row>
    <row r="57" ht="15" customHeight="1">
      <c r="A57" s="889"/>
    </row>
    <row r="58" ht="15" customHeight="1">
      <c r="A58" s="889"/>
    </row>
    <row r="59" ht="15" customHeight="1">
      <c r="A59" s="889"/>
    </row>
    <row r="60" ht="15" customHeight="1">
      <c r="A60" s="889"/>
    </row>
    <row r="61" ht="15" customHeight="1">
      <c r="A61" s="889"/>
    </row>
    <row r="62" ht="15" customHeight="1">
      <c r="A62" s="889"/>
    </row>
    <row r="63" ht="15" customHeight="1">
      <c r="A63" s="889"/>
    </row>
    <row r="64" ht="15" customHeight="1">
      <c r="A64" s="889"/>
    </row>
    <row r="65" ht="15" customHeight="1">
      <c r="A65" s="889"/>
    </row>
    <row r="66" ht="15" customHeight="1">
      <c r="A66" s="889"/>
    </row>
    <row r="67" ht="15" customHeight="1">
      <c r="A67" s="889"/>
    </row>
    <row r="68" ht="15" customHeight="1">
      <c r="A68" s="889"/>
    </row>
    <row r="69" ht="15" customHeight="1">
      <c r="A69" s="889"/>
    </row>
    <row r="70" ht="15" customHeight="1">
      <c r="A70" s="889"/>
    </row>
    <row r="71" ht="15" customHeight="1">
      <c r="A71" s="889"/>
    </row>
    <row r="72" ht="15" customHeight="1">
      <c r="A72" s="889"/>
    </row>
    <row r="73" ht="15" customHeight="1">
      <c r="A73" s="889"/>
    </row>
    <row r="74" ht="15" customHeight="1">
      <c r="A74" s="889"/>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297</v>
      </c>
      <c r="B1" s="307"/>
      <c r="C1" s="307"/>
      <c r="D1" s="307"/>
      <c r="E1" s="335"/>
      <c r="F1" s="335"/>
      <c r="G1" s="336"/>
      <c r="H1" s="260"/>
    </row>
    <row r="2" spans="1:7" ht="15" customHeight="1">
      <c r="A2" s="772"/>
      <c r="B2" s="326"/>
      <c r="C2" s="326"/>
      <c r="D2" s="326"/>
      <c r="E2" s="326"/>
      <c r="F2" s="326"/>
      <c r="G2" s="337"/>
    </row>
    <row r="3" spans="1:8" s="45" customFormat="1" ht="15" customHeight="1">
      <c r="A3" s="634" t="s">
        <v>442</v>
      </c>
      <c r="B3" s="864"/>
      <c r="C3" s="864"/>
      <c r="D3" s="864"/>
      <c r="E3" s="865"/>
      <c r="F3" s="865"/>
      <c r="G3" s="866"/>
      <c r="H3" s="770"/>
    </row>
    <row r="4" spans="1:8" s="45" customFormat="1" ht="15" customHeight="1">
      <c r="A4" s="634" t="s">
        <v>443</v>
      </c>
      <c r="B4" s="864"/>
      <c r="C4" s="864"/>
      <c r="D4" s="864"/>
      <c r="E4" s="865"/>
      <c r="F4" s="865"/>
      <c r="G4" s="866"/>
      <c r="H4" s="770"/>
    </row>
    <row r="5" spans="1:8" s="45" customFormat="1" ht="15" customHeight="1">
      <c r="A5" s="378" t="s">
        <v>483</v>
      </c>
      <c r="B5" s="864"/>
      <c r="C5" s="864"/>
      <c r="D5" s="864"/>
      <c r="E5" s="865"/>
      <c r="F5" s="865"/>
      <c r="G5" s="866"/>
      <c r="H5" s="770"/>
    </row>
    <row r="6" spans="1:7" ht="15" customHeight="1">
      <c r="A6" s="17"/>
      <c r="E6" s="337"/>
      <c r="F6" s="337"/>
      <c r="G6" s="337"/>
    </row>
    <row r="7" spans="1:7" ht="30" customHeight="1">
      <c r="A7" s="47"/>
      <c r="B7" s="875" t="s">
        <v>3</v>
      </c>
      <c r="C7" s="875" t="s">
        <v>44</v>
      </c>
      <c r="D7" s="875" t="s">
        <v>41</v>
      </c>
      <c r="E7" s="875" t="s">
        <v>47</v>
      </c>
      <c r="F7" s="876" t="s">
        <v>4</v>
      </c>
      <c r="G7" s="877" t="s">
        <v>298</v>
      </c>
    </row>
    <row r="8" spans="1:7" ht="30" customHeight="1">
      <c r="A8" s="867" t="s">
        <v>40</v>
      </c>
      <c r="B8" s="311"/>
      <c r="C8" s="311"/>
      <c r="D8" s="311"/>
      <c r="G8" s="868"/>
    </row>
    <row r="9" spans="1:38" ht="15" customHeight="1">
      <c r="A9" s="18" t="s">
        <v>422</v>
      </c>
      <c r="B9" s="869">
        <f>'[7]Loss Expenses Paid QTD-15'!K33</f>
        <v>49344.66</v>
      </c>
      <c r="C9" s="869">
        <f>'[7]Loss Expenses Paid QTD-15'!K27</f>
        <v>138936.66999999998</v>
      </c>
      <c r="D9" s="869">
        <f>'[7]Loss Expenses Paid QTD-15'!K21</f>
        <v>10523.71</v>
      </c>
      <c r="E9" s="869">
        <f>'[7]Loss Expenses Paid QTD-15'!K15</f>
        <v>8339.23</v>
      </c>
      <c r="F9" s="869">
        <f>'[7]Loss Expenses Paid QTD-15'!K9</f>
        <v>13703.500000000002</v>
      </c>
      <c r="G9" s="869">
        <f>SUM(B9:F9)+1</f>
        <v>220848.77</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423</v>
      </c>
      <c r="B10" s="122">
        <f>'[7]Loss Expenses Paid QTD-15'!K34</f>
        <v>29774.989999999998</v>
      </c>
      <c r="C10" s="122">
        <f>'[7]Loss Expenses Paid QTD-15'!K28</f>
        <v>35010.16</v>
      </c>
      <c r="D10" s="122">
        <f>'[7]Loss Expenses Paid QTD-15'!K22</f>
        <v>4683.5</v>
      </c>
      <c r="E10" s="122">
        <f>'[7]Loss Expenses Paid QTD-15'!K16</f>
        <v>268.13</v>
      </c>
      <c r="F10" s="122">
        <f>'[7]Loss Expenses Paid QTD-15'!K10</f>
        <v>112.35</v>
      </c>
      <c r="G10" s="122">
        <f>SUM(B10:F10)</f>
        <v>69849.13</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424</v>
      </c>
      <c r="B11" s="122">
        <f>'[7]Loss Expenses Paid QTD-15'!K35</f>
        <v>0</v>
      </c>
      <c r="C11" s="122">
        <f>'[7]Loss Expenses Paid QTD-15'!K29</f>
        <v>0</v>
      </c>
      <c r="D11" s="122">
        <f>'[7]Loss Expenses Paid QTD-15'!K23</f>
        <v>0</v>
      </c>
      <c r="E11" s="122">
        <f>'[7]Loss Expenses Paid QTD-15'!K17</f>
        <v>0</v>
      </c>
      <c r="F11" s="122">
        <f>'[7]Loss Expenses Paid QTD-15'!K11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0" t="s">
        <v>425</v>
      </c>
      <c r="B12" s="332">
        <f aca="true" t="shared" si="0" ref="B12:G12">SUM(B9:B11)</f>
        <v>79119.65</v>
      </c>
      <c r="C12" s="332">
        <f>SUM(C9:C11)</f>
        <v>173946.83</v>
      </c>
      <c r="D12" s="332">
        <f>SUM(D9:D11)+1</f>
        <v>15208.21</v>
      </c>
      <c r="E12" s="332">
        <f t="shared" si="0"/>
        <v>8607.359999999999</v>
      </c>
      <c r="F12" s="332">
        <f t="shared" si="0"/>
        <v>13815.850000000002</v>
      </c>
      <c r="G12" s="129">
        <f t="shared" si="0"/>
        <v>290697.9</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1" t="s">
        <v>489</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422</v>
      </c>
      <c r="B15" s="126">
        <f>'Loss Expenses YTD-12'!B15</f>
        <v>116481.26000000001</v>
      </c>
      <c r="C15" s="126">
        <f>'Loss Expenses YTD-12'!C15</f>
        <v>127796.06</v>
      </c>
      <c r="D15" s="126">
        <f>'Loss Expenses YTD-12'!D15</f>
        <v>34028.6</v>
      </c>
      <c r="E15" s="122">
        <f>'Loss Expenses YTD-12'!E15</f>
        <v>16457.95</v>
      </c>
      <c r="F15" s="122">
        <f>'Loss Expenses YTD-12'!F15</f>
        <v>10962.43</v>
      </c>
      <c r="G15" s="122">
        <f>SUM(B15:F15)</f>
        <v>305726.3</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423</v>
      </c>
      <c r="B16" s="126">
        <f>'Loss Expenses YTD-12'!B16</f>
        <v>27759.89</v>
      </c>
      <c r="C16" s="126">
        <f>'Loss Expenses YTD-12'!C16</f>
        <v>15921.32</v>
      </c>
      <c r="D16" s="126">
        <f>'Loss Expenses YTD-12'!D16</f>
        <v>4639.030000000001</v>
      </c>
      <c r="E16" s="122">
        <f>'Loss Expenses YTD-12'!E16</f>
        <v>0</v>
      </c>
      <c r="F16" s="122">
        <f>'Loss Expenses YTD-12'!F16</f>
        <v>0</v>
      </c>
      <c r="G16" s="122">
        <f>SUM(B16:F16)</f>
        <v>48320.24</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424</v>
      </c>
      <c r="B17" s="122">
        <f>'Loss Expenses YTD-12'!B17</f>
        <v>0</v>
      </c>
      <c r="C17" s="122">
        <f>'Loss Expenses YTD-12'!C17</f>
        <v>0</v>
      </c>
      <c r="D17" s="122">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0" t="s">
        <v>425</v>
      </c>
      <c r="B18" s="138">
        <f>SUM(B15:B17)</f>
        <v>144241.15000000002</v>
      </c>
      <c r="C18" s="138">
        <f>SUM(C15:C17)</f>
        <v>143717.38</v>
      </c>
      <c r="D18" s="138">
        <f>SUM(D15:D17)</f>
        <v>38667.63</v>
      </c>
      <c r="E18" s="332">
        <f>SUM(E15:E17)</f>
        <v>16457.95</v>
      </c>
      <c r="F18" s="332">
        <f>SUM(F15:F17)</f>
        <v>10962.43</v>
      </c>
      <c r="G18" s="129">
        <f>SUM(G15:G17)-1</f>
        <v>354045.54</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2"/>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1" t="s">
        <v>492</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422</v>
      </c>
      <c r="B21" s="126">
        <v>70565.91</v>
      </c>
      <c r="C21" s="126">
        <v>167746.21</v>
      </c>
      <c r="D21" s="910">
        <v>35565.57</v>
      </c>
      <c r="E21" s="122">
        <v>18590.85</v>
      </c>
      <c r="F21" s="122">
        <v>13229.48</v>
      </c>
      <c r="G21" s="122">
        <f>SUM(B21:F21)</f>
        <v>305698.01999999996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445</v>
      </c>
      <c r="B22" s="126">
        <v>9131.54</v>
      </c>
      <c r="C22" s="126">
        <v>11543.769999999999</v>
      </c>
      <c r="D22" s="126">
        <v>10876.210000000001</v>
      </c>
      <c r="E22" s="122">
        <v>0</v>
      </c>
      <c r="F22" s="122">
        <v>0</v>
      </c>
      <c r="G22" s="122">
        <f>SUM(B22:F22)</f>
        <v>31551.519999999997</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424</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0" t="s">
        <v>425</v>
      </c>
      <c r="B24" s="138">
        <f>SUM(B21:B23)+1</f>
        <v>79698.45000000001</v>
      </c>
      <c r="C24" s="138">
        <f>SUM(C21:C23)</f>
        <v>179289.97999999998</v>
      </c>
      <c r="D24" s="138">
        <f>SUM(D21:D23)</f>
        <v>46441.78</v>
      </c>
      <c r="E24" s="332">
        <f>SUM(E21:E23)</f>
        <v>18590.85</v>
      </c>
      <c r="F24" s="332">
        <f>SUM(F21:F23)</f>
        <v>13229.48</v>
      </c>
      <c r="G24" s="129">
        <f>SUM(G21:G23)</f>
        <v>337249.54</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row>
    <row r="26" spans="1:38" s="23" customFormat="1" ht="30" customHeight="1">
      <c r="A26" s="871" t="s">
        <v>13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422</v>
      </c>
      <c r="B27" s="122">
        <f aca="true" t="shared" si="1" ref="B27:F29">B9+B15-B21</f>
        <v>95260.01000000001</v>
      </c>
      <c r="C27" s="908">
        <f t="shared" si="1"/>
        <v>98986.51999999999</v>
      </c>
      <c r="D27" s="908">
        <f>D9+D15-D21</f>
        <v>8986.739999999998</v>
      </c>
      <c r="E27" s="122">
        <f>E9+E15-E21</f>
        <v>6206.330000000002</v>
      </c>
      <c r="F27" s="122">
        <f>F9+F15-F21+1</f>
        <v>11437.45</v>
      </c>
      <c r="G27" s="122">
        <f>SUM(B27:F27)</f>
        <v>220877.05</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423</v>
      </c>
      <c r="B28" s="122">
        <f>B10+B16-B22</f>
        <v>48403.34</v>
      </c>
      <c r="C28" s="908">
        <f>C10+C16-C22-1</f>
        <v>39386.71000000001</v>
      </c>
      <c r="D28" s="908">
        <f>D10+D16-D22+1</f>
        <v>-1552.6800000000003</v>
      </c>
      <c r="E28" s="122">
        <f t="shared" si="1"/>
        <v>268.13</v>
      </c>
      <c r="F28" s="908">
        <f t="shared" si="1"/>
        <v>112.35</v>
      </c>
      <c r="G28" s="908">
        <f>SUM(B28:F28)-1</f>
        <v>86616.85</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424</v>
      </c>
      <c r="B29" s="122">
        <f t="shared" si="1"/>
        <v>0</v>
      </c>
      <c r="C29" s="122">
        <f>C11+C17-C23</f>
        <v>0</v>
      </c>
      <c r="D29" s="122">
        <f t="shared" si="1"/>
        <v>0</v>
      </c>
      <c r="E29" s="122">
        <f t="shared" si="1"/>
        <v>0</v>
      </c>
      <c r="F29" s="122">
        <f t="shared" si="1"/>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425</v>
      </c>
      <c r="B30" s="343">
        <f aca="true" t="shared" si="2" ref="B30:G30">SUM(B27:B29)</f>
        <v>143663.35</v>
      </c>
      <c r="C30" s="343">
        <f>SUM(C27:C29)+1</f>
        <v>138374.22999999998</v>
      </c>
      <c r="D30" s="343">
        <f t="shared" si="2"/>
        <v>7434.059999999998</v>
      </c>
      <c r="E30" s="343">
        <f t="shared" si="2"/>
        <v>6474.460000000002</v>
      </c>
      <c r="F30" s="343">
        <f>SUM(F27:F29)-1</f>
        <v>11548.800000000001</v>
      </c>
      <c r="G30" s="343">
        <f t="shared" si="2"/>
        <v>307493.9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4"/>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297</v>
      </c>
      <c r="B1" s="307"/>
      <c r="C1" s="307"/>
      <c r="D1" s="307"/>
      <c r="E1" s="335"/>
      <c r="F1" s="335"/>
      <c r="G1" s="336"/>
      <c r="H1" s="260"/>
    </row>
    <row r="2" spans="1:7" ht="15" customHeight="1">
      <c r="A2" s="772"/>
      <c r="B2" s="326"/>
      <c r="C2" s="326"/>
      <c r="D2" s="326"/>
      <c r="E2" s="326"/>
      <c r="F2" s="326"/>
      <c r="G2" s="337"/>
    </row>
    <row r="3" spans="1:8" s="45" customFormat="1" ht="15" customHeight="1">
      <c r="A3" s="634" t="s">
        <v>442</v>
      </c>
      <c r="B3" s="864"/>
      <c r="C3" s="864"/>
      <c r="D3" s="864"/>
      <c r="E3" s="865"/>
      <c r="F3" s="865"/>
      <c r="G3" s="866"/>
      <c r="H3" s="770"/>
    </row>
    <row r="4" spans="1:8" s="45" customFormat="1" ht="15" customHeight="1">
      <c r="A4" s="634" t="s">
        <v>443</v>
      </c>
      <c r="B4" s="864"/>
      <c r="C4" s="864"/>
      <c r="D4" s="864"/>
      <c r="E4" s="865"/>
      <c r="F4" s="865"/>
      <c r="G4" s="866"/>
      <c r="H4" s="770"/>
    </row>
    <row r="5" spans="1:8" s="45" customFormat="1" ht="15" customHeight="1">
      <c r="A5" s="378" t="s">
        <v>484</v>
      </c>
      <c r="B5" s="864"/>
      <c r="C5" s="864"/>
      <c r="D5" s="864"/>
      <c r="E5" s="865"/>
      <c r="F5" s="865"/>
      <c r="G5" s="866"/>
      <c r="H5" s="770"/>
    </row>
    <row r="6" spans="1:7" ht="15" customHeight="1">
      <c r="A6" s="17"/>
      <c r="E6" s="337"/>
      <c r="F6" s="337"/>
      <c r="G6" s="337"/>
    </row>
    <row r="7" spans="1:7" ht="30" customHeight="1">
      <c r="A7" s="47"/>
      <c r="B7" s="875" t="s">
        <v>3</v>
      </c>
      <c r="C7" s="875" t="s">
        <v>44</v>
      </c>
      <c r="D7" s="875" t="s">
        <v>41</v>
      </c>
      <c r="E7" s="875" t="s">
        <v>47</v>
      </c>
      <c r="F7" s="876" t="s">
        <v>4</v>
      </c>
      <c r="G7" s="877" t="s">
        <v>298</v>
      </c>
    </row>
    <row r="8" spans="1:7" ht="30" customHeight="1">
      <c r="A8" s="867" t="s">
        <v>40</v>
      </c>
      <c r="B8" s="311"/>
      <c r="C8" s="311"/>
      <c r="D8" s="311"/>
      <c r="G8" s="868"/>
    </row>
    <row r="9" spans="1:38" ht="15" customHeight="1">
      <c r="A9" s="18" t="s">
        <v>422</v>
      </c>
      <c r="B9" s="869">
        <f>'[7]Loss Expenses Paid YTD-16'!K33</f>
        <v>103571.67</v>
      </c>
      <c r="C9" s="869">
        <f>'[7]Loss Expenses Paid YTD-16'!K27</f>
        <v>457488.12</v>
      </c>
      <c r="D9" s="869">
        <f>'[7]Loss Expenses Paid YTD-16'!K21</f>
        <v>70883.98</v>
      </c>
      <c r="E9" s="869">
        <f>'[7]Loss Expenses Paid YTD-16'!K15</f>
        <v>23593.29</v>
      </c>
      <c r="F9" s="869">
        <f>'[7]Loss Expenses Paid YTD-16'!K9</f>
        <v>32173.129999999997</v>
      </c>
      <c r="G9" s="869">
        <f>SUM(B9:F9)</f>
        <v>687710.1900000001</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423</v>
      </c>
      <c r="B10" s="122">
        <f>'[7]Loss Expenses Paid YTD-16'!K34</f>
        <v>43966.79</v>
      </c>
      <c r="C10" s="122">
        <f>'[7]Loss Expenses Paid YTD-16'!K28</f>
        <v>137653.80000000002</v>
      </c>
      <c r="D10" s="122">
        <f>'[7]Loss Expenses Paid YTD-16'!K22</f>
        <v>15843.880000000001</v>
      </c>
      <c r="E10" s="122">
        <f>'[7]Loss Expenses Paid YTD-16'!K16</f>
        <v>268.13</v>
      </c>
      <c r="F10" s="122">
        <f>'[7]Loss Expenses Paid YTD-16'!K10</f>
        <v>1191.85</v>
      </c>
      <c r="G10" s="122">
        <f>SUM(B10:F10)+1</f>
        <v>198925.45000000004</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424</v>
      </c>
      <c r="B11" s="122">
        <f>'[7]Loss Expenses Paid YTD-16'!K35</f>
        <v>125</v>
      </c>
      <c r="C11" s="122">
        <f>'[7]Loss Expenses Paid YTD-16'!K29</f>
        <v>0</v>
      </c>
      <c r="D11" s="122">
        <f>'[7]Loss Expenses Paid YTD-16'!K23</f>
        <v>0</v>
      </c>
      <c r="E11" s="122">
        <f>'[7]Loss Expenses Paid YTD-16'!K17</f>
        <v>0</v>
      </c>
      <c r="F11" s="122">
        <f>'[7]Loss Expenses Paid YTD-16'!K11</f>
        <v>0</v>
      </c>
      <c r="G11" s="122">
        <f>SUM(B11:F11)</f>
        <v>125</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0" t="s">
        <v>425</v>
      </c>
      <c r="B12" s="332">
        <f>SUM(B9:B11)+1</f>
        <v>147664.46</v>
      </c>
      <c r="C12" s="332">
        <f>SUM(C9:C11)</f>
        <v>595141.92</v>
      </c>
      <c r="D12" s="332">
        <f>SUM(D9:D11)</f>
        <v>86727.86</v>
      </c>
      <c r="E12" s="332">
        <f>SUM(E9:E11)</f>
        <v>23861.420000000002</v>
      </c>
      <c r="F12" s="332">
        <f>SUM(F9:F11)</f>
        <v>33364.979999999996</v>
      </c>
      <c r="G12" s="129">
        <f>SUM(G9:G11)-1</f>
        <v>886759.6400000001</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1" t="s">
        <v>489</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422</v>
      </c>
      <c r="B15" s="126">
        <f>'[7]Unpaid Loss Expense Reserves-14'!B22</f>
        <v>116481.26000000001</v>
      </c>
      <c r="C15" s="126">
        <f>'[7]Unpaid Loss Expense Reserves-14'!C22</f>
        <v>127796.06</v>
      </c>
      <c r="D15" s="126">
        <f>'[7]Unpaid Loss Expense Reserves-14'!D22</f>
        <v>34028.6</v>
      </c>
      <c r="E15" s="122">
        <f>'[7]Unpaid Loss Expense Reserves-14'!E22</f>
        <v>16457.95</v>
      </c>
      <c r="F15" s="122">
        <f>'[7]Unpaid Loss Expense Reserves-14'!F22</f>
        <v>10962.43</v>
      </c>
      <c r="G15" s="122">
        <f>SUM(B15:F15)</f>
        <v>305726.3</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423</v>
      </c>
      <c r="B16" s="126">
        <f>'[7]Unpaid Loss Expense Reserves-14'!B23</f>
        <v>27759.89</v>
      </c>
      <c r="C16" s="126">
        <f>'[7]Unpaid Loss Expense Reserves-14'!C23</f>
        <v>15921.32</v>
      </c>
      <c r="D16" s="126">
        <f>'[7]Unpaid Loss Expense Reserves-14'!D23</f>
        <v>4639.030000000001</v>
      </c>
      <c r="E16" s="122">
        <f>'[7]Unpaid Loss Expense Reserves-14'!E23</f>
        <v>0</v>
      </c>
      <c r="F16" s="122">
        <f>'[7]Unpaid Loss Expense Reserves-14'!F23</f>
        <v>0</v>
      </c>
      <c r="G16" s="122">
        <f>SUM(B16:F16)</f>
        <v>48320.24</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424</v>
      </c>
      <c r="B17" s="122">
        <f>'[7]Unpaid Loss Expense Reserves-14'!B24</f>
        <v>0</v>
      </c>
      <c r="C17" s="122">
        <f>'[7]Unpaid Loss Expense Reserves-14'!C24</f>
        <v>0</v>
      </c>
      <c r="D17" s="122">
        <f>'[7]Unpaid Loss Expense Reserves-14'!D24</f>
        <v>0</v>
      </c>
      <c r="E17" s="122">
        <f>'[7]Unpaid Loss Expense Reserves-14'!E24</f>
        <v>0</v>
      </c>
      <c r="F17" s="122">
        <f>'[7]Unpaid Loss Expense Reserves-14'!F24</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0" t="s">
        <v>425</v>
      </c>
      <c r="B18" s="138">
        <f>SUM(B15:B17)</f>
        <v>144241.15000000002</v>
      </c>
      <c r="C18" s="138">
        <f>SUM(C15:C17)</f>
        <v>143717.38</v>
      </c>
      <c r="D18" s="138">
        <f>SUM(D15:D17)</f>
        <v>38667.63</v>
      </c>
      <c r="E18" s="332">
        <f>SUM(E15:E17)</f>
        <v>16457.95</v>
      </c>
      <c r="F18" s="332">
        <f>SUM(F15:F17)</f>
        <v>10962.43</v>
      </c>
      <c r="G18" s="129">
        <f>SUM(G15:G17)-1</f>
        <v>354045.54</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2"/>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1" t="s">
        <v>2</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422</v>
      </c>
      <c r="B21" s="126">
        <v>0</v>
      </c>
      <c r="C21" s="126">
        <v>254373</v>
      </c>
      <c r="D21" s="126">
        <v>115331</v>
      </c>
      <c r="E21" s="122">
        <v>30075</v>
      </c>
      <c r="F21" s="122">
        <v>13067</v>
      </c>
      <c r="G21" s="122">
        <f>SUM(B21:F21)</f>
        <v>412846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445</v>
      </c>
      <c r="B22" s="126">
        <v>0</v>
      </c>
      <c r="C22" s="126">
        <v>7273</v>
      </c>
      <c r="D22" s="126">
        <v>10825</v>
      </c>
      <c r="E22" s="122">
        <v>0</v>
      </c>
      <c r="F22" s="122">
        <v>3043</v>
      </c>
      <c r="G22" s="122">
        <f>SUM(B22:F22)</f>
        <v>21141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424</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0" t="s">
        <v>425</v>
      </c>
      <c r="B24" s="138">
        <f aca="true" t="shared" si="0" ref="B24:G24">SUM(B21:B23)</f>
        <v>0</v>
      </c>
      <c r="C24" s="138">
        <f t="shared" si="0"/>
        <v>261646</v>
      </c>
      <c r="D24" s="138">
        <f t="shared" si="0"/>
        <v>126156</v>
      </c>
      <c r="E24" s="332">
        <f t="shared" si="0"/>
        <v>30075</v>
      </c>
      <c r="F24" s="332">
        <f t="shared" si="0"/>
        <v>16110</v>
      </c>
      <c r="G24" s="129">
        <f t="shared" si="0"/>
        <v>433987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row>
    <row r="26" spans="1:38" s="23" customFormat="1" ht="30" customHeight="1">
      <c r="A26" s="871" t="s">
        <v>13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422</v>
      </c>
      <c r="B27" s="122">
        <f>B9+B15-B21</f>
        <v>220052.93</v>
      </c>
      <c r="C27" s="122">
        <f>C9+C15-C21</f>
        <v>330911.17999999993</v>
      </c>
      <c r="D27" s="908">
        <f>D9+D15-D21</f>
        <v>-10418.420000000013</v>
      </c>
      <c r="E27" s="908">
        <f>E9+E15-E21</f>
        <v>9976.240000000005</v>
      </c>
      <c r="F27" s="908">
        <f>F9+F15-F21-1</f>
        <v>30067.559999999998</v>
      </c>
      <c r="G27" s="122">
        <f>SUM(B27:F27)+1</f>
        <v>580590.4899999998</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423</v>
      </c>
      <c r="B28" s="122">
        <f>B10+B16-B22</f>
        <v>71726.68</v>
      </c>
      <c r="C28" s="122">
        <f>C10+C16-C22</f>
        <v>146302.12000000002</v>
      </c>
      <c r="D28" s="122">
        <f>D10+D16-D22</f>
        <v>9657.910000000003</v>
      </c>
      <c r="E28" s="122">
        <f>E10+E16-E22</f>
        <v>268.13</v>
      </c>
      <c r="F28" s="908">
        <f>F10+F16-F22</f>
        <v>-1851.15</v>
      </c>
      <c r="G28" s="122">
        <f>SUM(B28:F28)</f>
        <v>226103.69000000003</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424</v>
      </c>
      <c r="B29" s="122">
        <f>B11+B17-B23</f>
        <v>125</v>
      </c>
      <c r="C29" s="122">
        <f>C11+C17-C23</f>
        <v>0</v>
      </c>
      <c r="D29" s="122">
        <f>D11+D17-D23</f>
        <v>0</v>
      </c>
      <c r="E29" s="122">
        <f>E11+E17-E23</f>
        <v>0</v>
      </c>
      <c r="F29" s="122">
        <f>F11+F17-F23</f>
        <v>0</v>
      </c>
      <c r="G29" s="122">
        <f>SUM(B29:F29)</f>
        <v>125</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425</v>
      </c>
      <c r="B30" s="343">
        <f aca="true" t="shared" si="1" ref="B30:G30">SUM(B27:B29)</f>
        <v>291904.61</v>
      </c>
      <c r="C30" s="343">
        <f t="shared" si="1"/>
        <v>477213.29999999993</v>
      </c>
      <c r="D30" s="909">
        <f>SUM(D27:D29)+1</f>
        <v>-759.5100000000093</v>
      </c>
      <c r="E30" s="343">
        <f t="shared" si="1"/>
        <v>10244.370000000004</v>
      </c>
      <c r="F30" s="343">
        <f>SUM(F27:F29)+1</f>
        <v>28217.409999999996</v>
      </c>
      <c r="G30" s="343">
        <f t="shared" si="1"/>
        <v>806819.1799999998</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4"/>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297</v>
      </c>
      <c r="B1" s="307"/>
      <c r="C1" s="307"/>
      <c r="D1" s="324"/>
      <c r="E1" s="324"/>
      <c r="F1" s="324"/>
      <c r="G1" s="325"/>
    </row>
    <row r="2" spans="1:7" ht="19.5" customHeight="1">
      <c r="A2" s="19"/>
      <c r="B2" s="308"/>
      <c r="C2" s="308"/>
      <c r="D2" s="326"/>
      <c r="E2" s="326"/>
      <c r="F2" s="308"/>
      <c r="G2" s="308"/>
    </row>
    <row r="3" spans="1:7" s="103" customFormat="1" ht="18.75">
      <c r="A3" s="102" t="s">
        <v>431</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89</v>
      </c>
      <c r="C6" s="310" t="s">
        <v>93</v>
      </c>
      <c r="D6" s="322" t="s">
        <v>189</v>
      </c>
      <c r="E6" s="322" t="s">
        <v>259</v>
      </c>
      <c r="F6" s="322" t="s">
        <v>144</v>
      </c>
      <c r="G6" s="323" t="s">
        <v>298</v>
      </c>
    </row>
    <row r="7" spans="1:7" ht="15.75">
      <c r="A7" s="105" t="s">
        <v>432</v>
      </c>
      <c r="D7" s="330"/>
      <c r="E7" s="330"/>
      <c r="F7" s="330"/>
      <c r="G7" s="330"/>
    </row>
    <row r="8" spans="1:8" ht="15">
      <c r="A8" s="105" t="s">
        <v>433</v>
      </c>
      <c r="B8" s="311"/>
      <c r="C8" s="311"/>
      <c r="D8" s="330"/>
      <c r="E8" s="330"/>
      <c r="F8" s="330"/>
      <c r="G8" s="330"/>
      <c r="H8" s="114"/>
    </row>
    <row r="9" spans="1:8" ht="14.25">
      <c r="A9" s="106" t="s">
        <v>434</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280</v>
      </c>
    </row>
    <row r="10" spans="1:8" s="23" customFormat="1" ht="14.25">
      <c r="A10" s="107" t="s">
        <v>435</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281</v>
      </c>
    </row>
    <row r="11" spans="1:8" s="23" customFormat="1" ht="14.25">
      <c r="A11" s="107" t="s">
        <v>436</v>
      </c>
      <c r="B11" s="315" t="e">
        <f>+'[5]TB03-31-04(Final)'!D386</f>
        <v>#REF!</v>
      </c>
      <c r="C11" s="315" t="e">
        <f>+'[5]TB03-31-04(Final)'!F385</f>
        <v>#REF!</v>
      </c>
      <c r="D11" s="315" t="e">
        <f>+'[5]TB03-31-04(Final)'!F384</f>
        <v>#REF!</v>
      </c>
      <c r="E11" s="315">
        <f>+'[5]TB03-31-04(Final)'!F382</f>
        <v>0</v>
      </c>
      <c r="F11" s="315">
        <f>+'[5]TB03-31-04(Final)'!F381</f>
        <v>0</v>
      </c>
      <c r="G11" s="331" t="e">
        <f>SUM(B11:F11)</f>
        <v>#REF!</v>
      </c>
      <c r="H11" s="25" t="s">
        <v>282</v>
      </c>
    </row>
    <row r="12" spans="1:8" s="23" customFormat="1" ht="15.75" thickBot="1">
      <c r="A12" s="108" t="s">
        <v>425</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198</v>
      </c>
      <c r="B14" s="126"/>
      <c r="C14" s="126"/>
      <c r="D14" s="331"/>
      <c r="E14" s="331"/>
      <c r="F14" s="331"/>
      <c r="G14" s="331"/>
    </row>
    <row r="15" spans="1:7" s="23" customFormat="1" ht="14.25">
      <c r="A15" s="106" t="s">
        <v>437</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438</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439</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425</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248</v>
      </c>
      <c r="B20" s="312" t="s">
        <v>296</v>
      </c>
      <c r="C20" s="312" t="s">
        <v>296</v>
      </c>
      <c r="D20" s="331"/>
      <c r="E20" s="331"/>
      <c r="F20" s="331"/>
      <c r="G20" s="331"/>
    </row>
    <row r="21" spans="1:7" s="23" customFormat="1" ht="14.25">
      <c r="A21" s="106" t="s">
        <v>437</v>
      </c>
      <c r="B21" s="126">
        <v>0</v>
      </c>
      <c r="C21" s="126">
        <v>3812745.98</v>
      </c>
      <c r="D21" s="331">
        <v>796383.95</v>
      </c>
      <c r="E21" s="331">
        <v>173012</v>
      </c>
      <c r="F21" s="331">
        <f>4+76330.03</f>
        <v>76334.03</v>
      </c>
      <c r="G21" s="331">
        <f>SUM(B21:F21)</f>
        <v>4858475.96</v>
      </c>
    </row>
    <row r="22" spans="1:7" s="23" customFormat="1" ht="14.25">
      <c r="A22" s="106" t="s">
        <v>438</v>
      </c>
      <c r="B22" s="126">
        <v>0</v>
      </c>
      <c r="C22" s="126">
        <v>582572.89</v>
      </c>
      <c r="D22" s="331">
        <v>136273.61</v>
      </c>
      <c r="E22" s="331">
        <v>-982</v>
      </c>
      <c r="F22" s="331">
        <f>365.82+1967</f>
        <v>2332.82</v>
      </c>
      <c r="G22" s="331">
        <f>SUM(B22:F22)</f>
        <v>720197.32</v>
      </c>
    </row>
    <row r="23" spans="1:7" s="23" customFormat="1" ht="14.25">
      <c r="A23" s="106" t="s">
        <v>439</v>
      </c>
      <c r="B23" s="126">
        <v>0</v>
      </c>
      <c r="C23" s="126">
        <v>8803.51</v>
      </c>
      <c r="D23" s="331">
        <v>0</v>
      </c>
      <c r="E23" s="331">
        <v>0</v>
      </c>
      <c r="F23" s="331">
        <v>0</v>
      </c>
      <c r="G23" s="331">
        <f>SUM(B23:F23)</f>
        <v>8803.51</v>
      </c>
    </row>
    <row r="24" spans="1:8" s="23" customFormat="1" ht="15.75" thickBot="1">
      <c r="A24" s="108" t="s">
        <v>425</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440</v>
      </c>
      <c r="B26" s="126"/>
      <c r="C26" s="126"/>
      <c r="D26" s="331"/>
      <c r="E26" s="331"/>
      <c r="F26" s="331"/>
      <c r="G26" s="331"/>
    </row>
    <row r="27" spans="1:9" s="23" customFormat="1" ht="14.25">
      <c r="A27" s="106" t="s">
        <v>437</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413</v>
      </c>
      <c r="I27" s="23" t="s">
        <v>416</v>
      </c>
    </row>
    <row r="28" spans="1:8" s="23" customFormat="1" ht="14.25">
      <c r="A28" s="106" t="s">
        <v>438</v>
      </c>
      <c r="B28" s="331" t="e">
        <f t="shared" si="1"/>
        <v>#REF!</v>
      </c>
      <c r="C28" s="331" t="e">
        <f t="shared" si="1"/>
        <v>#REF!</v>
      </c>
      <c r="D28" s="331" t="e">
        <f t="shared" si="2"/>
        <v>#REF!</v>
      </c>
      <c r="E28" s="331">
        <f t="shared" si="2"/>
        <v>70972.57</v>
      </c>
      <c r="F28" s="331" t="e">
        <f>F10+(F16-F22)</f>
        <v>#REF!</v>
      </c>
      <c r="G28" s="331" t="e">
        <f>SUM(B28:F28)</f>
        <v>#REF!</v>
      </c>
      <c r="H28" s="25" t="s">
        <v>414</v>
      </c>
    </row>
    <row r="29" spans="1:8" s="23" customFormat="1" ht="14.25">
      <c r="A29" s="106" t="s">
        <v>439</v>
      </c>
      <c r="B29" s="331" t="e">
        <f t="shared" si="1"/>
        <v>#REF!</v>
      </c>
      <c r="C29" s="331" t="e">
        <f t="shared" si="1"/>
        <v>#REF!</v>
      </c>
      <c r="D29" s="331" t="e">
        <f t="shared" si="2"/>
        <v>#REF!</v>
      </c>
      <c r="E29" s="331">
        <f t="shared" si="2"/>
        <v>0</v>
      </c>
      <c r="F29" s="331" t="e">
        <f>F11+(F17-F23)</f>
        <v>#REF!</v>
      </c>
      <c r="G29" s="331" t="e">
        <f>SUM(B29:F29)</f>
        <v>#REF!</v>
      </c>
      <c r="H29" s="25" t="s">
        <v>415</v>
      </c>
    </row>
    <row r="30" spans="1:9" ht="15.75" thickBot="1">
      <c r="A30" s="108" t="s">
        <v>425</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476</v>
      </c>
      <c r="D33" s="348"/>
      <c r="E33" s="348"/>
      <c r="F33" s="348"/>
      <c r="G33" s="349" t="s">
        <v>474</v>
      </c>
    </row>
    <row r="34" spans="1:7" ht="14.25">
      <c r="A34" s="106" t="s">
        <v>437</v>
      </c>
      <c r="B34" s="126">
        <f>468189.06-222137.25</f>
        <v>246051.81</v>
      </c>
      <c r="C34" s="126">
        <f>468189.06-222137.25</f>
        <v>246051.81</v>
      </c>
      <c r="D34" s="126">
        <f>448199.18-670918.35</f>
        <v>-222719.16999999998</v>
      </c>
      <c r="E34" s="350">
        <v>0</v>
      </c>
      <c r="F34" s="350">
        <v>0</v>
      </c>
      <c r="G34" s="122">
        <f>SUM(B34:F34)</f>
        <v>269384.45</v>
      </c>
    </row>
    <row r="35" spans="1:7" ht="14.25">
      <c r="A35" s="106" t="s">
        <v>438</v>
      </c>
      <c r="B35" s="126">
        <f>175542.97-81939.83</f>
        <v>93603.14</v>
      </c>
      <c r="C35" s="126">
        <f>175542.97-81939.83</f>
        <v>93603.14</v>
      </c>
      <c r="D35" s="126">
        <f>180110.78-278566.43</f>
        <v>-98455.65</v>
      </c>
      <c r="E35" s="350">
        <v>0</v>
      </c>
      <c r="F35" s="350">
        <v>0</v>
      </c>
      <c r="G35" s="122">
        <f>SUM(B35:F35)</f>
        <v>88750.63</v>
      </c>
    </row>
    <row r="36" spans="1:7" ht="14.25">
      <c r="A36" s="106" t="s">
        <v>439</v>
      </c>
      <c r="B36" s="126">
        <f>3215.61-1526.93</f>
        <v>1688.68</v>
      </c>
      <c r="C36" s="126">
        <f>3215.61-1526.93</f>
        <v>1688.68</v>
      </c>
      <c r="D36" s="126">
        <f>3443.46-5433.83</f>
        <v>-1990.37</v>
      </c>
      <c r="E36" s="350">
        <v>0</v>
      </c>
      <c r="F36" s="350">
        <v>0</v>
      </c>
      <c r="G36" s="122">
        <f>SUM(B36:F36)</f>
        <v>1386.9900000000002</v>
      </c>
    </row>
    <row r="37" spans="1:7" ht="15.75" thickBot="1">
      <c r="A37" s="108" t="s">
        <v>425</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316</v>
      </c>
      <c r="B39" s="322" t="s">
        <v>93</v>
      </c>
      <c r="C39" s="322" t="s">
        <v>93</v>
      </c>
      <c r="D39" s="322" t="s">
        <v>189</v>
      </c>
      <c r="E39" s="322" t="s">
        <v>259</v>
      </c>
      <c r="F39" s="322" t="s">
        <v>331</v>
      </c>
      <c r="G39" s="323" t="s">
        <v>298</v>
      </c>
      <c r="H39" s="251"/>
    </row>
    <row r="40" spans="2:8" ht="15.75">
      <c r="B40" s="313"/>
      <c r="C40" s="313"/>
      <c r="D40" s="318"/>
      <c r="E40" s="318"/>
      <c r="F40" s="320"/>
      <c r="G40" s="315"/>
      <c r="H40" s="252" t="e">
        <f>+'[5]TB03-31-04(Final)'!G455</f>
        <v>#REF!</v>
      </c>
    </row>
    <row r="41" spans="1:8" ht="12.75" customHeight="1">
      <c r="A41" s="106" t="s">
        <v>437</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438</v>
      </c>
      <c r="B42" s="314" t="e">
        <f>+B28-B35</f>
        <v>#REF!</v>
      </c>
      <c r="C42" s="314" t="e">
        <f t="shared" si="4"/>
        <v>#REF!</v>
      </c>
      <c r="D42" s="314" t="e">
        <f t="shared" si="4"/>
        <v>#REF!</v>
      </c>
      <c r="E42" s="314">
        <f t="shared" si="4"/>
        <v>70972.57</v>
      </c>
      <c r="F42" s="314" t="e">
        <f t="shared" si="4"/>
        <v>#REF!</v>
      </c>
      <c r="G42" s="315" t="e">
        <f>SUM(C42:F42)</f>
        <v>#REF!</v>
      </c>
      <c r="H42" s="96"/>
    </row>
    <row r="43" spans="1:8" ht="14.25">
      <c r="A43" s="106" t="s">
        <v>439</v>
      </c>
      <c r="B43" s="314" t="e">
        <f>+B29-B36</f>
        <v>#REF!</v>
      </c>
      <c r="C43" s="314" t="e">
        <f>+C29-C36</f>
        <v>#REF!</v>
      </c>
      <c r="D43" s="314" t="e">
        <f>+D29-D36</f>
        <v>#REF!</v>
      </c>
      <c r="E43" s="314">
        <f>+E29-E35</f>
        <v>0</v>
      </c>
      <c r="F43" s="314" t="e">
        <f>+F29-F35</f>
        <v>#REF!</v>
      </c>
      <c r="G43" s="315" t="e">
        <f>SUM(C43:F43)</f>
        <v>#REF!</v>
      </c>
      <c r="H43" s="96"/>
    </row>
    <row r="44" spans="1:8" ht="15.75" thickBot="1">
      <c r="A44" s="108" t="s">
        <v>425</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4" t="s">
        <v>297</v>
      </c>
      <c r="C1" s="955"/>
      <c r="D1" s="955"/>
      <c r="E1" s="955"/>
      <c r="F1" s="955"/>
      <c r="G1" s="955"/>
      <c r="H1" s="955"/>
      <c r="I1" s="956"/>
    </row>
    <row r="2" spans="2:9" s="11" customFormat="1" ht="19.5">
      <c r="B2" s="963"/>
      <c r="C2" s="964"/>
      <c r="D2" s="964"/>
      <c r="E2" s="964"/>
      <c r="F2" s="964"/>
      <c r="G2" s="605"/>
      <c r="H2" s="606"/>
      <c r="I2" s="607"/>
    </row>
    <row r="3" spans="2:9" s="12" customFormat="1" ht="16.5">
      <c r="B3" s="957" t="s">
        <v>252</v>
      </c>
      <c r="C3" s="958"/>
      <c r="D3" s="958"/>
      <c r="E3" s="958"/>
      <c r="F3" s="958"/>
      <c r="G3" s="958"/>
      <c r="H3" s="958"/>
      <c r="I3" s="959"/>
    </row>
    <row r="4" spans="2:9" s="12" customFormat="1" ht="16.5">
      <c r="B4" s="960" t="s">
        <v>197</v>
      </c>
      <c r="C4" s="961"/>
      <c r="D4" s="961"/>
      <c r="E4" s="961"/>
      <c r="F4" s="961"/>
      <c r="G4" s="961"/>
      <c r="H4" s="961"/>
      <c r="I4" s="962"/>
    </row>
    <row r="5" spans="2:9" ht="15">
      <c r="B5" s="608"/>
      <c r="C5" s="633"/>
      <c r="D5" s="633"/>
      <c r="E5" s="952" t="s">
        <v>181</v>
      </c>
      <c r="F5" s="952"/>
      <c r="G5" s="632"/>
      <c r="H5" s="952" t="s">
        <v>182</v>
      </c>
      <c r="I5" s="953"/>
    </row>
    <row r="6" spans="2:9" ht="45">
      <c r="B6" s="608"/>
      <c r="C6" s="609" t="s">
        <v>253</v>
      </c>
      <c r="D6" s="609" t="s">
        <v>254</v>
      </c>
      <c r="E6" s="609" t="s">
        <v>255</v>
      </c>
      <c r="F6" s="609" t="s">
        <v>256</v>
      </c>
      <c r="G6" s="610"/>
      <c r="H6" s="609" t="s">
        <v>255</v>
      </c>
      <c r="I6" s="631" t="s">
        <v>256</v>
      </c>
    </row>
    <row r="7" spans="1:9" ht="15">
      <c r="A7" s="14" t="s">
        <v>470</v>
      </c>
      <c r="B7" s="611" t="s">
        <v>299</v>
      </c>
      <c r="C7" s="473"/>
      <c r="D7" s="473"/>
      <c r="E7" s="473"/>
      <c r="F7" s="473"/>
      <c r="G7" s="610"/>
      <c r="H7" s="596"/>
      <c r="I7" s="596"/>
    </row>
    <row r="8" spans="1:9" ht="14.25">
      <c r="A8" s="14">
        <v>5</v>
      </c>
      <c r="B8" s="612" t="s">
        <v>257</v>
      </c>
      <c r="C8" s="474"/>
      <c r="D8" s="474"/>
      <c r="E8" s="474"/>
      <c r="F8" s="474"/>
      <c r="G8" s="613"/>
      <c r="H8" s="597"/>
      <c r="I8" s="597"/>
    </row>
    <row r="9" spans="2:9" ht="14.25">
      <c r="B9" s="612" t="s">
        <v>258</v>
      </c>
      <c r="C9" s="474">
        <f>+'[5]TB03-31-04(Final)'!G16+'[5]TB03-31-04(Final)'!G23</f>
        <v>9850900.019999998</v>
      </c>
      <c r="D9" s="481">
        <v>0</v>
      </c>
      <c r="E9" s="481">
        <v>0</v>
      </c>
      <c r="F9" s="474">
        <f>SUM(C9:E9)</f>
        <v>9850900.019999998</v>
      </c>
      <c r="G9" s="613"/>
      <c r="H9" s="597"/>
      <c r="I9" s="598">
        <f>+'[2]Balance Sheet (pg 1)'!$E$9</f>
        <v>9779587.32</v>
      </c>
    </row>
    <row r="10" spans="1:9" ht="14.25">
      <c r="A10" s="14">
        <v>11</v>
      </c>
      <c r="B10" s="612" t="s">
        <v>188</v>
      </c>
      <c r="C10" s="482">
        <v>0</v>
      </c>
      <c r="D10" s="482">
        <f>+'[5]TB03-31-04(Final)'!G25</f>
        <v>10038.47</v>
      </c>
      <c r="E10" s="482">
        <v>0</v>
      </c>
      <c r="F10" s="482">
        <f>SUM(C10:E10)</f>
        <v>10038.47</v>
      </c>
      <c r="G10" s="613"/>
      <c r="H10" s="597"/>
      <c r="I10" s="599">
        <f>+'[2]Balance Sheet (pg 1)'!$E$10</f>
        <v>9035.63</v>
      </c>
    </row>
    <row r="11" spans="1:9" ht="14.25" customHeight="1">
      <c r="A11" s="14">
        <v>18</v>
      </c>
      <c r="B11" s="612" t="s">
        <v>301</v>
      </c>
      <c r="C11" s="482">
        <f>+'[5]TB03-31-04(Final)'!E1029</f>
        <v>172930.65000000002</v>
      </c>
      <c r="D11" s="482">
        <v>0</v>
      </c>
      <c r="E11" s="482">
        <f>C11</f>
        <v>172930.65000000002</v>
      </c>
      <c r="F11" s="482">
        <f>+C11-E11</f>
        <v>0</v>
      </c>
      <c r="G11" s="613"/>
      <c r="H11" s="599">
        <f>+'[2]Balance Sheet (pg 1)'!$D$11</f>
        <v>240717.92</v>
      </c>
      <c r="I11" s="600">
        <f>+'[2]Balance Sheet (pg 1)'!$E$11</f>
        <v>0</v>
      </c>
    </row>
    <row r="12" spans="1:9" ht="14.25" customHeight="1">
      <c r="A12" s="14">
        <v>17</v>
      </c>
      <c r="B12" s="612" t="s">
        <v>303</v>
      </c>
      <c r="C12" s="482">
        <f>+'[5]TB03-31-04(Final)'!G1033</f>
        <v>52339.42</v>
      </c>
      <c r="D12" s="482">
        <v>0</v>
      </c>
      <c r="E12" s="482">
        <v>0</v>
      </c>
      <c r="F12" s="482">
        <f>+C12-E12</f>
        <v>52339.42</v>
      </c>
      <c r="G12" s="613"/>
      <c r="H12" s="597"/>
      <c r="I12" s="600">
        <f>+'[2]Balance Sheet (pg 1)'!$E$12</f>
        <v>20473.260000000002</v>
      </c>
    </row>
    <row r="13" spans="1:9" ht="15.75" customHeight="1">
      <c r="A13" s="14">
        <v>18</v>
      </c>
      <c r="B13" s="612" t="s">
        <v>304</v>
      </c>
      <c r="C13" s="482">
        <f>+'[5]TB03-31-04(Final)'!E1038</f>
        <v>46955.560000000005</v>
      </c>
      <c r="D13" s="482">
        <v>0</v>
      </c>
      <c r="E13" s="482">
        <f>C13</f>
        <v>46955.560000000005</v>
      </c>
      <c r="F13" s="482">
        <f>+C13-E13</f>
        <v>0</v>
      </c>
      <c r="G13" s="613"/>
      <c r="H13" s="599">
        <f>+'[2]Balance Sheet (pg 1)'!$D$13</f>
        <v>58331.310000000005</v>
      </c>
      <c r="I13" s="600">
        <f>+'[2]Balance Sheet (pg 1)'!$E$13</f>
        <v>0</v>
      </c>
    </row>
    <row r="14" spans="1:9" ht="14.25">
      <c r="A14" s="14">
        <v>23</v>
      </c>
      <c r="B14" s="614" t="s">
        <v>199</v>
      </c>
      <c r="C14" s="482">
        <v>0</v>
      </c>
      <c r="D14" s="482">
        <v>0</v>
      </c>
      <c r="E14" s="482">
        <v>0</v>
      </c>
      <c r="F14" s="482">
        <f>+C14-E14</f>
        <v>0</v>
      </c>
      <c r="G14" s="613"/>
      <c r="H14" s="603">
        <f>+'[2]Balance Sheet (pg 1)'!$D$16</f>
        <v>335155</v>
      </c>
      <c r="I14" s="600">
        <f>+'[2]Balance Sheet (pg 1)'!$E$16</f>
        <v>0</v>
      </c>
    </row>
    <row r="15" spans="1:9" ht="14.25">
      <c r="A15" s="14">
        <v>23</v>
      </c>
      <c r="B15" s="615" t="s">
        <v>200</v>
      </c>
      <c r="C15" s="604">
        <v>0</v>
      </c>
      <c r="D15" s="604">
        <v>0</v>
      </c>
      <c r="E15" s="604">
        <f>C15</f>
        <v>0</v>
      </c>
      <c r="F15" s="604">
        <f>+C15-E15</f>
        <v>0</v>
      </c>
      <c r="G15" s="616"/>
      <c r="H15" s="603">
        <v>42501</v>
      </c>
      <c r="I15" s="602">
        <f>+'[2]Balance Sheet (pg 1)'!$E$14</f>
        <v>0</v>
      </c>
    </row>
    <row r="16" spans="1:9" ht="14.25">
      <c r="A16" s="14">
        <v>23</v>
      </c>
      <c r="B16" s="614" t="s">
        <v>201</v>
      </c>
      <c r="C16" s="483" t="e">
        <f>+'[5]TB03-31-04(Final)'!F1025</f>
        <v>#REF!</v>
      </c>
      <c r="D16" s="482">
        <v>0</v>
      </c>
      <c r="E16" s="482">
        <v>0</v>
      </c>
      <c r="F16" s="482" t="e">
        <f>+C16-D16-E16</f>
        <v>#REF!</v>
      </c>
      <c r="G16" s="613"/>
      <c r="H16" s="603">
        <f>+'[2]Balance Sheet (pg 1)'!$D$17</f>
        <v>4979.98</v>
      </c>
      <c r="I16" s="600">
        <f>+'[2]Balance Sheet (pg 1)'!$E$17</f>
        <v>0</v>
      </c>
    </row>
    <row r="17" spans="2:9" ht="15">
      <c r="B17" s="617" t="s">
        <v>305</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469</v>
      </c>
      <c r="B19" s="621" t="s">
        <v>306</v>
      </c>
      <c r="C19" s="476"/>
      <c r="D19" s="476"/>
      <c r="E19" s="476"/>
      <c r="F19" s="476"/>
      <c r="G19" s="613"/>
      <c r="H19" s="22"/>
      <c r="I19" s="620"/>
    </row>
    <row r="20" spans="1:9" ht="15">
      <c r="A20" s="14">
        <v>1</v>
      </c>
      <c r="B20" s="622" t="s">
        <v>184</v>
      </c>
      <c r="C20" s="476"/>
      <c r="D20" s="477"/>
      <c r="E20" s="485">
        <f>-'[5]TB3-31-04 (Pre)'!F199</f>
        <v>47682</v>
      </c>
      <c r="F20" s="477"/>
      <c r="G20" s="613"/>
      <c r="H20" s="342">
        <f>+'[2]Balance Sheet (pg 1)'!$D$26</f>
        <v>91297.81</v>
      </c>
      <c r="I20" s="620"/>
    </row>
    <row r="21" spans="1:9" ht="15">
      <c r="A21" s="14">
        <v>3</v>
      </c>
      <c r="B21" s="622" t="s">
        <v>185</v>
      </c>
      <c r="C21" s="476"/>
      <c r="D21" s="477"/>
      <c r="E21" s="485">
        <f>-'[5]TB3-31-04 (Pre)'!F198</f>
        <v>6748.45</v>
      </c>
      <c r="F21" s="486"/>
      <c r="G21" s="613"/>
      <c r="H21" s="342"/>
      <c r="I21" s="620"/>
    </row>
    <row r="22" spans="1:9" ht="15">
      <c r="A22" s="14">
        <v>4</v>
      </c>
      <c r="B22" s="622" t="s">
        <v>186</v>
      </c>
      <c r="C22" s="476"/>
      <c r="D22" s="538"/>
      <c r="E22" s="485">
        <f>-'[5]TB03-31-04(Final)'!G272</f>
        <v>263743.5</v>
      </c>
      <c r="F22" s="476"/>
      <c r="G22" s="613"/>
      <c r="H22" s="342">
        <f>+'[2]Balance Sheet (pg 1)'!$D$25</f>
        <v>113994.26000000001</v>
      </c>
      <c r="I22" s="620"/>
    </row>
    <row r="23" spans="1:9" ht="15">
      <c r="A23" s="14">
        <v>5</v>
      </c>
      <c r="B23" s="622" t="s">
        <v>150</v>
      </c>
      <c r="C23" s="476"/>
      <c r="D23" s="538"/>
      <c r="E23" s="485">
        <f>-'[5]TB03-31-04(Final)'!G207</f>
        <v>20527.9</v>
      </c>
      <c r="F23" s="476"/>
      <c r="G23" s="613"/>
      <c r="H23" s="127">
        <f>-'[6]TB09-30-02(Final)'!$F$195</f>
        <v>37678.14</v>
      </c>
      <c r="I23" s="620"/>
    </row>
    <row r="24" spans="1:9" ht="15" customHeight="1">
      <c r="A24" s="14">
        <v>6</v>
      </c>
      <c r="B24" s="622" t="s">
        <v>187</v>
      </c>
      <c r="C24" s="476"/>
      <c r="D24" s="476"/>
      <c r="E24" s="485">
        <f>-'[5]TB03-31-04(Final)'!G199</f>
        <v>50113.97</v>
      </c>
      <c r="F24" s="476"/>
      <c r="G24" s="613"/>
      <c r="H24" s="342">
        <f>+'[2]Balance Sheet (pg 1)'!$D$37</f>
        <v>34740</v>
      </c>
      <c r="I24" s="620"/>
    </row>
    <row r="25" spans="1:9" ht="15">
      <c r="A25" s="14">
        <v>10</v>
      </c>
      <c r="B25" s="622" t="s">
        <v>64</v>
      </c>
      <c r="C25" s="476"/>
      <c r="D25" s="477"/>
      <c r="E25" s="485">
        <f>-'[5]TB03-31-04(Final)'!G267</f>
        <v>446013</v>
      </c>
      <c r="F25" s="476"/>
      <c r="G25" s="613"/>
      <c r="H25" s="342">
        <f>+'[2]Balance Sheet (pg 1)'!$D$24</f>
        <v>364716</v>
      </c>
      <c r="I25" s="620"/>
    </row>
    <row r="26" spans="1:9" ht="15">
      <c r="A26" s="14">
        <v>14</v>
      </c>
      <c r="B26" s="622" t="s">
        <v>202</v>
      </c>
      <c r="C26" s="476"/>
      <c r="D26" s="477"/>
      <c r="E26" s="485">
        <f>-'[5]TB03-31-04(Final)'!G256</f>
        <v>294617.31</v>
      </c>
      <c r="F26" s="476"/>
      <c r="G26" s="613"/>
      <c r="H26" s="342">
        <f>+'[2]Balance Sheet (pg 1)'!$D$23</f>
        <v>965550.22</v>
      </c>
      <c r="I26" s="620"/>
    </row>
    <row r="27" spans="1:9" ht="15">
      <c r="A27" s="14">
        <v>27</v>
      </c>
      <c r="B27" s="622" t="s">
        <v>15</v>
      </c>
      <c r="C27" s="476"/>
      <c r="D27" s="477"/>
      <c r="E27" s="485">
        <f>-'[5]TB03-31-04(Final)'!G258</f>
        <v>1290906</v>
      </c>
      <c r="F27" s="476"/>
      <c r="G27" s="613"/>
      <c r="H27" s="342">
        <f>+'[2]Balance Sheet (pg 1)'!$D$22</f>
        <v>618846.84</v>
      </c>
      <c r="I27" s="620"/>
    </row>
    <row r="28" spans="1:9" ht="15">
      <c r="A28" s="14">
        <v>27</v>
      </c>
      <c r="B28" s="622" t="s">
        <v>16</v>
      </c>
      <c r="C28" s="476"/>
      <c r="D28" s="477"/>
      <c r="E28" s="484">
        <f>-'[5]TB03-31-04(Final)'!G260</f>
        <v>505030.11</v>
      </c>
      <c r="F28" s="476"/>
      <c r="G28" s="613"/>
      <c r="H28" s="342">
        <v>0</v>
      </c>
      <c r="I28" s="620"/>
    </row>
    <row r="29" spans="2:9" ht="14.25">
      <c r="B29" s="622"/>
      <c r="C29" s="623"/>
      <c r="D29" s="476"/>
      <c r="E29" s="476"/>
      <c r="F29" s="485"/>
      <c r="G29" s="613"/>
      <c r="H29" s="342"/>
      <c r="I29" s="620"/>
    </row>
    <row r="30" spans="2:9" ht="15">
      <c r="B30" s="625" t="s">
        <v>203</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309</v>
      </c>
      <c r="C32" s="476"/>
      <c r="D32" s="476"/>
      <c r="E32" s="476"/>
      <c r="F32" s="476"/>
      <c r="G32" s="613"/>
      <c r="H32" s="342"/>
      <c r="I32" s="620"/>
    </row>
    <row r="33" spans="1:9" ht="15">
      <c r="A33" s="14">
        <v>9</v>
      </c>
      <c r="B33" s="622" t="s">
        <v>310</v>
      </c>
      <c r="C33" s="476"/>
      <c r="D33" s="477"/>
      <c r="E33" s="485">
        <f>-'[5]TB03-31-04(Final)'!G65</f>
        <v>11049613</v>
      </c>
      <c r="F33" s="476"/>
      <c r="G33" s="613"/>
      <c r="H33" s="342">
        <f>+'[2]Balance Sheet (pg 1)'!$D$31</f>
        <v>8776992</v>
      </c>
      <c r="I33" s="620"/>
    </row>
    <row r="34" spans="1:9" ht="15">
      <c r="A34" s="14">
        <v>114</v>
      </c>
      <c r="B34" s="622" t="s">
        <v>204</v>
      </c>
      <c r="C34" s="476"/>
      <c r="D34" s="477"/>
      <c r="E34" s="485">
        <f>-'[5]TB03-31-04(Final)'!G104</f>
        <v>6198399.7700000005</v>
      </c>
      <c r="F34" s="476"/>
      <c r="G34" s="613"/>
      <c r="H34" s="342">
        <f>+'[2]Balance Sheet (pg 1)'!$D$32</f>
        <v>5068927.600000001</v>
      </c>
      <c r="I34" s="620"/>
    </row>
    <row r="35" spans="1:9" ht="15">
      <c r="A35" s="14">
        <v>114</v>
      </c>
      <c r="B35" s="622" t="s">
        <v>205</v>
      </c>
      <c r="C35" s="476"/>
      <c r="D35" s="477"/>
      <c r="E35" s="485">
        <f>-'[5]TB03-31-04(Final)'!G121</f>
        <v>1364184.0999999999</v>
      </c>
      <c r="F35" s="476"/>
      <c r="G35" s="613"/>
      <c r="H35" s="342">
        <f>+'[2]Balance Sheet (pg 1)'!$D$33</f>
        <v>1302472.2</v>
      </c>
      <c r="I35" s="620"/>
    </row>
    <row r="36" spans="1:9" ht="15">
      <c r="A36" s="14">
        <v>114</v>
      </c>
      <c r="B36" s="622" t="s">
        <v>206</v>
      </c>
      <c r="C36" s="476"/>
      <c r="D36" s="477"/>
      <c r="E36" s="485">
        <f>-'[5]TB03-31-04(Final)'!G159</f>
        <v>524501</v>
      </c>
      <c r="F36" s="476"/>
      <c r="G36" s="613"/>
      <c r="H36" s="342">
        <f>+'[2]Balance Sheet (pg 1)'!$D$34</f>
        <v>394965.17999999993</v>
      </c>
      <c r="I36" s="620"/>
    </row>
    <row r="37" spans="1:9" ht="15">
      <c r="A37" s="14">
        <v>114</v>
      </c>
      <c r="B37" s="622" t="s">
        <v>207</v>
      </c>
      <c r="C37" s="477"/>
      <c r="D37" s="477"/>
      <c r="E37" s="485">
        <f>-'[5]TB03-31-04(Final)'!G193</f>
        <v>226567.97999999998</v>
      </c>
      <c r="F37" s="476"/>
      <c r="G37" s="613"/>
      <c r="H37" s="342">
        <f>+'[2]Balance Sheet (pg 1)'!$D$35</f>
        <v>127127.4</v>
      </c>
      <c r="I37" s="620"/>
    </row>
    <row r="38" spans="1:9" ht="15">
      <c r="A38" s="14">
        <v>5</v>
      </c>
      <c r="B38" s="622" t="s">
        <v>468</v>
      </c>
      <c r="C38" s="476"/>
      <c r="D38" s="477"/>
      <c r="E38" s="512">
        <f>-'[5]TB03-31-04(Final)'!G217</f>
        <v>330321.9</v>
      </c>
      <c r="F38" s="476"/>
      <c r="G38" s="613"/>
      <c r="H38" s="601">
        <f>+'[2]Balance Sheet (pg 1)'!$D$36-H27</f>
        <v>-293990.12999999995</v>
      </c>
      <c r="I38" s="620"/>
    </row>
    <row r="39" spans="2:9" ht="15" customHeight="1">
      <c r="B39" s="622"/>
      <c r="C39" s="476"/>
      <c r="D39" s="476"/>
      <c r="E39" s="485"/>
      <c r="F39" s="476"/>
      <c r="G39" s="613"/>
      <c r="H39" s="342"/>
      <c r="I39" s="620"/>
    </row>
    <row r="40" spans="2:9" ht="15" customHeight="1">
      <c r="B40" s="625" t="s">
        <v>427</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312</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313</v>
      </c>
      <c r="C44" s="476"/>
      <c r="D44" s="476"/>
      <c r="E44" s="477"/>
      <c r="F44" s="476"/>
      <c r="G44" s="613"/>
      <c r="H44" s="342"/>
      <c r="I44" s="620"/>
    </row>
    <row r="45" spans="2:9" ht="15">
      <c r="B45" s="622" t="s">
        <v>183</v>
      </c>
      <c r="C45" s="476"/>
      <c r="D45" s="476"/>
      <c r="E45" s="477"/>
      <c r="F45" s="486" t="e">
        <f>+F17-F42</f>
        <v>#REF!</v>
      </c>
      <c r="G45" s="613"/>
      <c r="H45" s="342"/>
      <c r="I45" s="624">
        <f>+'[2]Balance Sheet (pg 1)'!$E$44</f>
        <v>-8375390.010000002</v>
      </c>
    </row>
    <row r="46" spans="2:9" ht="15">
      <c r="B46" s="618"/>
      <c r="C46" s="477"/>
      <c r="D46" s="477"/>
      <c r="E46" s="477"/>
      <c r="F46" s="476"/>
      <c r="G46" s="613"/>
      <c r="H46" s="342"/>
      <c r="I46" s="620"/>
    </row>
    <row r="47" spans="2:9" ht="15.75" thickBot="1">
      <c r="B47" s="627" t="s">
        <v>314</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11" t="s">
        <v>297</v>
      </c>
      <c r="B1" s="1011"/>
      <c r="C1" s="1011"/>
      <c r="D1" s="1011"/>
      <c r="E1" s="1011"/>
      <c r="F1" s="1011"/>
      <c r="G1" s="1011"/>
      <c r="H1" s="1011"/>
    </row>
    <row r="2" spans="1:8" ht="19.5" customHeight="1">
      <c r="A2" s="1010"/>
      <c r="B2" s="1010"/>
      <c r="C2" s="1010"/>
      <c r="D2" s="1010"/>
      <c r="E2" s="1010"/>
      <c r="F2" s="1010"/>
      <c r="G2" s="1010"/>
      <c r="H2" s="1010"/>
    </row>
    <row r="3" spans="1:8" s="103" customFormat="1" ht="18.75">
      <c r="A3" s="1012" t="s">
        <v>431</v>
      </c>
      <c r="B3" s="1012"/>
      <c r="C3" s="1012"/>
      <c r="D3" s="1012"/>
      <c r="E3" s="1012"/>
      <c r="F3" s="1012"/>
      <c r="G3" s="1012"/>
      <c r="H3" s="1012"/>
    </row>
    <row r="4" spans="1:8" s="103" customFormat="1" ht="18.75">
      <c r="A4" s="1012" t="str">
        <f>+'(7)Premiums YTD8'!A4</f>
        <v>YTD PERIOD MARCH 31st, 2004</v>
      </c>
      <c r="B4" s="1012"/>
      <c r="C4" s="1012"/>
      <c r="D4" s="1012"/>
      <c r="E4" s="1012"/>
      <c r="F4" s="1012"/>
      <c r="G4" s="1012"/>
      <c r="H4" s="1012"/>
    </row>
    <row r="5" spans="1:8" s="103" customFormat="1" ht="16.5">
      <c r="A5" s="453"/>
      <c r="B5" s="376"/>
      <c r="C5" s="376"/>
      <c r="D5" s="454"/>
      <c r="E5" s="454"/>
      <c r="F5" s="454"/>
      <c r="G5" s="377"/>
      <c r="H5" s="454"/>
    </row>
    <row r="6" spans="1:8" ht="30" customHeight="1">
      <c r="A6" s="455"/>
      <c r="B6" s="570" t="s">
        <v>89</v>
      </c>
      <c r="C6" s="570" t="s">
        <v>93</v>
      </c>
      <c r="D6" s="570" t="s">
        <v>189</v>
      </c>
      <c r="E6" s="570" t="s">
        <v>259</v>
      </c>
      <c r="F6" s="570" t="s">
        <v>144</v>
      </c>
      <c r="G6" s="571" t="s">
        <v>279</v>
      </c>
      <c r="H6" s="571" t="s">
        <v>298</v>
      </c>
    </row>
    <row r="7" spans="1:8" s="127" customFormat="1" ht="15.75">
      <c r="A7" s="567" t="s">
        <v>432</v>
      </c>
      <c r="B7" s="456"/>
      <c r="C7" s="456"/>
      <c r="D7" s="457"/>
      <c r="E7" s="457"/>
      <c r="F7" s="457"/>
      <c r="G7" s="457"/>
      <c r="H7" s="457"/>
    </row>
    <row r="8" spans="1:8" s="127" customFormat="1" ht="15">
      <c r="A8" s="567" t="s">
        <v>433</v>
      </c>
      <c r="B8" s="375"/>
      <c r="C8" s="375"/>
      <c r="D8" s="457"/>
      <c r="E8" s="457"/>
      <c r="F8" s="457"/>
      <c r="G8" s="457"/>
      <c r="H8" s="457"/>
    </row>
    <row r="9" spans="1:9" ht="14.25">
      <c r="A9" s="568" t="s">
        <v>434</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8">
        <f>SUM(D9:F9)</f>
        <v>54975.26</v>
      </c>
      <c r="H9" s="478">
        <f>SUM(B9:F9)</f>
        <v>3052993.78</v>
      </c>
      <c r="I9" s="25"/>
    </row>
    <row r="10" spans="1:8" s="23" customFormat="1" ht="14.25">
      <c r="A10" s="568" t="s">
        <v>435</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8" t="s">
        <v>436</v>
      </c>
      <c r="B11" s="331">
        <f>+'[5]TB03-31-04(Final)'!F383</f>
        <v>1229</v>
      </c>
      <c r="C11" s="331" t="e">
        <f>+'[5]TB03-31-04(Final)'!F382+'[5]TB03-31-04(Final)'!F385</f>
        <v>#REF!</v>
      </c>
      <c r="D11" s="331" t="e">
        <f>+'[5]TB03-31-04(Final)'!F384</f>
        <v>#REF!</v>
      </c>
      <c r="E11" s="331">
        <v>0</v>
      </c>
      <c r="F11" s="331">
        <f>+'[5]TB03-31-04(Final)'!F381</f>
        <v>0</v>
      </c>
      <c r="G11" s="331" t="e">
        <f>SUM(D11:F11)</f>
        <v>#REF!</v>
      </c>
      <c r="H11" s="512" t="e">
        <f>SUM(B11:F11)</f>
        <v>#REF!</v>
      </c>
    </row>
    <row r="12" spans="1:10" s="23" customFormat="1" ht="15.75" thickBot="1">
      <c r="A12" s="452" t="s">
        <v>425</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+'[5]TB03-31-04(Final)'!G407</f>
        <v>3783761.3799999994</v>
      </c>
      <c r="J13" s="23" t="e">
        <f>+H12-I13</f>
        <v>#REF!</v>
      </c>
    </row>
    <row r="14" spans="1:9" s="23" customFormat="1" ht="15">
      <c r="A14" s="452" t="s">
        <v>54</v>
      </c>
      <c r="B14" s="126"/>
      <c r="C14" s="126"/>
      <c r="D14" s="555"/>
      <c r="E14" s="555"/>
      <c r="F14" s="555"/>
      <c r="G14" s="331"/>
      <c r="H14" s="331"/>
      <c r="I14" s="287"/>
    </row>
    <row r="15" spans="1:8" s="23" customFormat="1" ht="14.25">
      <c r="A15" s="568" t="s">
        <v>437</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8" t="s">
        <v>438</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8" t="s">
        <v>439</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2" t="s">
        <v>425</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8"/>
      <c r="B19" s="126"/>
      <c r="C19" s="126"/>
      <c r="D19" s="331"/>
      <c r="E19" s="331"/>
      <c r="F19" s="331"/>
      <c r="G19" s="331"/>
      <c r="H19" s="331"/>
    </row>
    <row r="20" spans="1:8" s="23" customFormat="1" ht="15">
      <c r="A20" s="452" t="s">
        <v>248</v>
      </c>
      <c r="B20" s="312"/>
      <c r="C20" s="312"/>
      <c r="D20" s="331"/>
      <c r="E20" s="331"/>
      <c r="F20" s="331"/>
      <c r="G20" s="331"/>
      <c r="H20" s="331"/>
    </row>
    <row r="21" spans="1:8" s="23" customFormat="1" ht="14.25">
      <c r="A21" s="568" t="s">
        <v>437</v>
      </c>
      <c r="B21" s="126">
        <v>0</v>
      </c>
      <c r="C21" s="126">
        <v>3812746</v>
      </c>
      <c r="D21" s="331">
        <v>796384</v>
      </c>
      <c r="E21" s="331">
        <v>173012</v>
      </c>
      <c r="F21" s="331">
        <f>4+76330</f>
        <v>76334</v>
      </c>
      <c r="G21" s="331">
        <f>+'[8]Losses Incurred QTR'!$F$21</f>
        <v>149640.16</v>
      </c>
      <c r="H21" s="331">
        <f>SUM(B21:F21)</f>
        <v>4858476</v>
      </c>
    </row>
    <row r="22" spans="1:8" s="23" customFormat="1" ht="14.25">
      <c r="A22" s="568" t="s">
        <v>438</v>
      </c>
      <c r="B22" s="126">
        <v>0</v>
      </c>
      <c r="C22" s="126">
        <v>582573</v>
      </c>
      <c r="D22" s="331">
        <v>136274</v>
      </c>
      <c r="E22" s="331">
        <v>-982</v>
      </c>
      <c r="F22" s="331">
        <f>366+1967</f>
        <v>2333</v>
      </c>
      <c r="G22" s="331">
        <f>+'[8]Losses Incurred QTR'!$F$22</f>
        <v>60667.2</v>
      </c>
      <c r="H22" s="331">
        <f>SUM(B22:F22)-1</f>
        <v>720197</v>
      </c>
    </row>
    <row r="23" spans="1:8" s="23" customFormat="1" ht="14.25">
      <c r="A23" s="568" t="s">
        <v>439</v>
      </c>
      <c r="B23" s="126">
        <v>0</v>
      </c>
      <c r="C23" s="126">
        <v>8804</v>
      </c>
      <c r="D23" s="331">
        <v>0</v>
      </c>
      <c r="E23" s="331">
        <v>0</v>
      </c>
      <c r="F23" s="331">
        <v>0</v>
      </c>
      <c r="G23" s="331">
        <f>+'[8]Losses Incurred QTR'!$F$23</f>
        <v>-8764</v>
      </c>
      <c r="H23" s="331">
        <f>SUM(B23:F23)</f>
        <v>8804</v>
      </c>
    </row>
    <row r="24" spans="1:9" s="23" customFormat="1" ht="15.75" thickBot="1">
      <c r="A24" s="452" t="s">
        <v>425</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475</v>
      </c>
      <c r="B26" s="126"/>
      <c r="C26" s="126"/>
      <c r="D26" s="331"/>
      <c r="E26" s="331"/>
      <c r="F26" s="331"/>
      <c r="G26" s="331"/>
      <c r="H26" s="331"/>
      <c r="I26" s="23" t="e">
        <f>+H12+I25</f>
        <v>#REF!</v>
      </c>
    </row>
    <row r="27" spans="1:8" s="23" customFormat="1" ht="14.25">
      <c r="A27" s="568" t="s">
        <v>437</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438</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439</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425</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89</v>
      </c>
      <c r="C33" s="572" t="s">
        <v>93</v>
      </c>
      <c r="D33" s="573" t="s">
        <v>68</v>
      </c>
      <c r="E33" s="538"/>
      <c r="F33" s="538"/>
      <c r="G33" s="538"/>
      <c r="I33" s="110">
        <f>+'[5]TB03-31-04(Final)'!G462</f>
        <v>4105799.4900000007</v>
      </c>
    </row>
    <row r="34" spans="1:7" ht="18" customHeight="1">
      <c r="A34" s="569" t="s">
        <v>441</v>
      </c>
      <c r="B34" s="552"/>
      <c r="C34" s="552"/>
      <c r="D34" s="553"/>
      <c r="E34" s="553"/>
      <c r="F34" s="553"/>
      <c r="G34" s="478"/>
    </row>
    <row r="35" spans="1:7" ht="14.25">
      <c r="A35" s="568" t="s">
        <v>437</v>
      </c>
      <c r="B35" s="472">
        <f>+'[5](1)IBNR Cal13'!C27</f>
        <v>929888.0153114785</v>
      </c>
      <c r="C35" s="126">
        <v>0</v>
      </c>
      <c r="D35" s="357">
        <f>SUM(B35:C35)</f>
        <v>929888.0153114785</v>
      </c>
      <c r="E35" s="357"/>
      <c r="F35" s="357"/>
      <c r="G35" s="113"/>
    </row>
    <row r="36" spans="1:7" ht="14.25">
      <c r="A36" s="568" t="s">
        <v>438</v>
      </c>
      <c r="B36" s="126">
        <f>+'[5](1)IBNR Cal13'!C28</f>
        <v>302248.25796003203</v>
      </c>
      <c r="C36" s="126">
        <v>0</v>
      </c>
      <c r="D36" s="122">
        <f>SUM(B36:C36)</f>
        <v>302248.25796003203</v>
      </c>
      <c r="E36" s="304"/>
      <c r="F36" s="304"/>
      <c r="G36" s="122"/>
    </row>
    <row r="37" spans="1:7" ht="14.25">
      <c r="A37" s="568" t="s">
        <v>439</v>
      </c>
      <c r="B37" s="126">
        <f>+'[5](1)IBNR Cal13'!C29</f>
        <v>4148.069670959347</v>
      </c>
      <c r="C37" s="126">
        <v>0</v>
      </c>
      <c r="D37" s="122">
        <f>SUM(B37:C37)</f>
        <v>4148.069670959347</v>
      </c>
      <c r="E37" s="304"/>
      <c r="F37" s="304"/>
      <c r="G37" s="122"/>
    </row>
    <row r="38" spans="1:7" ht="15.75" thickBot="1">
      <c r="A38" s="452" t="s">
        <v>425</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180</v>
      </c>
      <c r="E50" s="321" t="s">
        <v>180</v>
      </c>
      <c r="F50" s="321" t="s">
        <v>180</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65536"/>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297</v>
      </c>
      <c r="B1" s="459"/>
      <c r="C1" s="423"/>
      <c r="D1" s="460"/>
      <c r="E1" s="460"/>
      <c r="F1" s="461"/>
      <c r="G1" s="461"/>
      <c r="H1" s="461"/>
    </row>
    <row r="2" spans="1:9" ht="18.75">
      <c r="A2" s="425"/>
      <c r="B2" s="425"/>
      <c r="C2" s="450"/>
      <c r="D2" s="450"/>
      <c r="E2" s="450"/>
      <c r="F2" s="426"/>
      <c r="G2" s="414"/>
      <c r="H2" s="414"/>
      <c r="I2" s="18"/>
    </row>
    <row r="3" spans="1:9" ht="15">
      <c r="A3" s="462" t="s">
        <v>442</v>
      </c>
      <c r="B3" s="462"/>
      <c r="C3" s="428"/>
      <c r="D3" s="463"/>
      <c r="E3" s="463"/>
      <c r="F3" s="414"/>
      <c r="G3" s="414"/>
      <c r="H3" s="414"/>
      <c r="I3" s="18"/>
    </row>
    <row r="4" spans="1:9" ht="15">
      <c r="A4" s="462" t="s">
        <v>443</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89</v>
      </c>
      <c r="C7" s="373" t="s">
        <v>93</v>
      </c>
      <c r="D7" s="466" t="s">
        <v>189</v>
      </c>
      <c r="E7" s="466" t="s">
        <v>259</v>
      </c>
      <c r="F7" s="466" t="s">
        <v>144</v>
      </c>
      <c r="G7" s="466" t="s">
        <v>279</v>
      </c>
      <c r="H7" s="467" t="s">
        <v>298</v>
      </c>
      <c r="I7" s="18"/>
    </row>
    <row r="8" spans="1:9" ht="30">
      <c r="A8" s="468" t="s">
        <v>444</v>
      </c>
      <c r="B8" s="372"/>
      <c r="C8" s="372"/>
      <c r="D8" s="380"/>
      <c r="E8" s="380"/>
      <c r="F8" s="380"/>
      <c r="G8" s="380"/>
      <c r="H8" s="469"/>
      <c r="I8" s="18"/>
    </row>
    <row r="9" spans="1:39" ht="14.25">
      <c r="A9" s="369" t="s">
        <v>422</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423</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424</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425</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56</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422</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423</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424</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425</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247</v>
      </c>
      <c r="B20" s="312" t="s">
        <v>296</v>
      </c>
      <c r="C20" s="312" t="s">
        <v>296</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422</v>
      </c>
      <c r="B21" s="126">
        <v>0</v>
      </c>
      <c r="C21" s="126">
        <v>317463</v>
      </c>
      <c r="D21" s="126">
        <v>88558</v>
      </c>
      <c r="E21" s="122">
        <v>19239</v>
      </c>
      <c r="F21" s="122">
        <v>8488</v>
      </c>
      <c r="G21" s="122">
        <f>+'[8]Loss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445</v>
      </c>
      <c r="B22" s="126">
        <v>0</v>
      </c>
      <c r="C22" s="126">
        <v>25508</v>
      </c>
      <c r="D22" s="126">
        <v>15154</v>
      </c>
      <c r="E22" s="122">
        <v>-109</v>
      </c>
      <c r="F22" s="122">
        <f>41+219</f>
        <v>260</v>
      </c>
      <c r="G22" s="122">
        <f>+'[8]Loss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424</v>
      </c>
      <c r="B23" s="126">
        <v>0</v>
      </c>
      <c r="C23" s="126">
        <v>278</v>
      </c>
      <c r="D23" s="126">
        <v>0</v>
      </c>
      <c r="E23" s="122">
        <v>0</v>
      </c>
      <c r="F23" s="122">
        <f>+'[9]Loss Expenses YTD (pg 12)'!$C$17</f>
        <v>0</v>
      </c>
      <c r="G23" s="122">
        <f>+'[8]Loss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425</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446</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422</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423</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424</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425</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15" t="s">
        <v>297</v>
      </c>
      <c r="B1" s="1015"/>
      <c r="C1" s="1015"/>
      <c r="D1" s="1015"/>
      <c r="E1" s="1015"/>
      <c r="F1" s="338" t="s">
        <v>81</v>
      </c>
      <c r="G1" s="339" t="s">
        <v>237</v>
      </c>
      <c r="H1" s="149" t="s">
        <v>453</v>
      </c>
      <c r="I1" s="150" t="s">
        <v>81</v>
      </c>
      <c r="J1" s="150"/>
      <c r="K1" s="189" t="s">
        <v>292</v>
      </c>
      <c r="L1" s="231"/>
      <c r="M1" s="231"/>
      <c r="N1" s="231"/>
    </row>
    <row r="2" spans="1:11" ht="20.25">
      <c r="A2" s="1013" t="s">
        <v>294</v>
      </c>
      <c r="B2" s="1013"/>
      <c r="C2" s="1013"/>
      <c r="D2" s="1013"/>
      <c r="E2" s="1013"/>
      <c r="F2" s="151"/>
      <c r="G2" s="79"/>
      <c r="H2" s="75" t="s">
        <v>454</v>
      </c>
      <c r="I2" s="152"/>
      <c r="K2" s="190"/>
    </row>
    <row r="3" spans="1:11" ht="20.25">
      <c r="A3" s="1014">
        <v>37802</v>
      </c>
      <c r="B3" s="1014"/>
      <c r="C3" s="1014"/>
      <c r="D3" s="1014"/>
      <c r="E3" s="1014"/>
      <c r="F3" s="151"/>
      <c r="G3" s="153"/>
      <c r="H3" s="76"/>
      <c r="K3" s="190" t="s">
        <v>307</v>
      </c>
    </row>
    <row r="4" spans="1:11" ht="15.75">
      <c r="A4" s="2"/>
      <c r="B4" s="2" t="s">
        <v>234</v>
      </c>
      <c r="C4" s="2"/>
      <c r="D4" s="80"/>
      <c r="E4" s="80"/>
      <c r="F4" s="154" t="s">
        <v>455</v>
      </c>
      <c r="H4" s="76"/>
      <c r="K4" s="190"/>
    </row>
    <row r="5" spans="1:11" ht="15.75">
      <c r="A5" s="81"/>
      <c r="B5" s="82" t="s">
        <v>450</v>
      </c>
      <c r="C5" s="3" t="s">
        <v>451</v>
      </c>
      <c r="D5" s="83" t="s">
        <v>452</v>
      </c>
      <c r="E5" s="80"/>
      <c r="F5" s="155" t="s">
        <v>456</v>
      </c>
      <c r="G5" s="77" t="s">
        <v>457</v>
      </c>
      <c r="H5" s="75" t="s">
        <v>458</v>
      </c>
      <c r="I5" s="78" t="s">
        <v>459</v>
      </c>
      <c r="J5" s="75"/>
      <c r="K5" s="191" t="s">
        <v>460</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94</v>
      </c>
      <c r="H8" s="76" t="s">
        <v>100</v>
      </c>
      <c r="I8" s="76">
        <f>D9</f>
        <v>737754.17</v>
      </c>
      <c r="J8" s="84"/>
      <c r="K8" s="190"/>
      <c r="L8" s="230"/>
      <c r="M8" s="230"/>
      <c r="N8" s="230"/>
    </row>
    <row r="9" spans="1:14" ht="15.75">
      <c r="A9" s="87" t="s">
        <v>422</v>
      </c>
      <c r="B9" s="199">
        <f>-'[5](1)IBNR Cal13'!C21</f>
        <v>0</v>
      </c>
      <c r="C9" s="199">
        <v>-737754.17</v>
      </c>
      <c r="D9" s="199">
        <f>B9-C9</f>
        <v>737754.17</v>
      </c>
      <c r="E9" s="160"/>
      <c r="F9" s="161"/>
      <c r="G9" s="76" t="s">
        <v>95</v>
      </c>
      <c r="H9" s="76" t="s">
        <v>101</v>
      </c>
      <c r="I9" s="76">
        <f>D10</f>
        <v>272517.95</v>
      </c>
      <c r="J9" s="84"/>
      <c r="K9" s="190"/>
      <c r="L9" s="230"/>
      <c r="M9" s="230"/>
      <c r="N9" s="230"/>
    </row>
    <row r="10" spans="1:14" ht="15.75">
      <c r="A10" s="87" t="s">
        <v>445</v>
      </c>
      <c r="B10" s="199">
        <f>-'[5](1)IBNR Cal13'!C22</f>
        <v>0</v>
      </c>
      <c r="C10" s="199">
        <v>-272517.95</v>
      </c>
      <c r="D10" s="199">
        <f>B10-C10</f>
        <v>272517.95</v>
      </c>
      <c r="E10" s="160"/>
      <c r="F10" s="161"/>
      <c r="G10" s="76" t="s">
        <v>96</v>
      </c>
      <c r="H10" s="76" t="s">
        <v>102</v>
      </c>
      <c r="I10" s="76">
        <f>D11</f>
        <v>4757.34</v>
      </c>
      <c r="J10" s="84"/>
      <c r="K10" s="190"/>
      <c r="L10" s="230"/>
      <c r="M10" s="230"/>
      <c r="N10" s="230"/>
    </row>
    <row r="11" spans="1:14" ht="15.75">
      <c r="A11" s="87" t="s">
        <v>424</v>
      </c>
      <c r="B11" s="293">
        <f>-'[5](1)IBNR Cal13'!C23</f>
        <v>0</v>
      </c>
      <c r="C11" s="199">
        <v>-4757.34</v>
      </c>
      <c r="D11" s="199">
        <f>B11-C11</f>
        <v>4757.34</v>
      </c>
      <c r="E11" s="160"/>
      <c r="F11" s="161"/>
      <c r="G11" s="76" t="s">
        <v>97</v>
      </c>
      <c r="H11" s="76" t="s">
        <v>103</v>
      </c>
      <c r="J11" s="84"/>
      <c r="K11" s="190">
        <f>I8</f>
        <v>737754.17</v>
      </c>
      <c r="L11" s="230"/>
      <c r="M11" s="230"/>
      <c r="N11" s="230"/>
    </row>
    <row r="12" spans="1:14" ht="15.75">
      <c r="A12" s="87"/>
      <c r="B12" s="199"/>
      <c r="C12" s="200"/>
      <c r="D12" s="199"/>
      <c r="E12" s="160"/>
      <c r="F12" s="161"/>
      <c r="G12" s="76" t="s">
        <v>98</v>
      </c>
      <c r="H12" s="76" t="s">
        <v>104</v>
      </c>
      <c r="J12" s="84"/>
      <c r="K12" s="190">
        <f>I9</f>
        <v>272517.95</v>
      </c>
      <c r="L12" s="230"/>
      <c r="M12" s="230"/>
      <c r="N12" s="230"/>
    </row>
    <row r="13" spans="1:14" ht="15.75">
      <c r="A13" s="87" t="s">
        <v>108</v>
      </c>
      <c r="B13" s="201">
        <f>SUM(B9:B12)</f>
        <v>0</v>
      </c>
      <c r="C13" s="201">
        <f>SUM(C9:C12)</f>
        <v>-1015029.4600000001</v>
      </c>
      <c r="D13" s="201">
        <f>SUM(D9:D12)</f>
        <v>1015029.4600000001</v>
      </c>
      <c r="E13" s="160"/>
      <c r="F13" s="161"/>
      <c r="G13" s="76" t="s">
        <v>99</v>
      </c>
      <c r="H13" s="76" t="s">
        <v>105</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83</v>
      </c>
      <c r="H15" s="76" t="s">
        <v>284</v>
      </c>
      <c r="J15" s="84"/>
      <c r="K15" s="190">
        <f>-D16</f>
        <v>664860.7953114785</v>
      </c>
      <c r="L15" s="230"/>
      <c r="M15" s="230"/>
      <c r="N15" s="230"/>
    </row>
    <row r="16" spans="1:14" ht="15.75">
      <c r="A16" s="87" t="s">
        <v>422</v>
      </c>
      <c r="B16" s="199">
        <f>-'[5](1)IBNR Cal13'!C27</f>
        <v>-929888.0153114785</v>
      </c>
      <c r="C16" s="199">
        <v>-265027.22</v>
      </c>
      <c r="D16" s="199">
        <f>B16-C16</f>
        <v>-664860.7953114785</v>
      </c>
      <c r="E16" s="160"/>
      <c r="F16" s="161"/>
      <c r="G16" s="76" t="s">
        <v>84</v>
      </c>
      <c r="H16" s="76" t="s">
        <v>285</v>
      </c>
      <c r="J16" s="84"/>
      <c r="K16" s="190">
        <f>-D17</f>
        <v>216633.17796003202</v>
      </c>
      <c r="L16" s="230"/>
      <c r="M16" s="230"/>
      <c r="N16" s="230"/>
    </row>
    <row r="17" spans="1:14" ht="15.75">
      <c r="A17" s="87" t="s">
        <v>445</v>
      </c>
      <c r="B17" s="199">
        <f>-'[5](1)IBNR Cal13'!C28</f>
        <v>-302248.25796003203</v>
      </c>
      <c r="C17" s="199">
        <v>-85615.08</v>
      </c>
      <c r="D17" s="199">
        <f>B17-C17</f>
        <v>-216633.17796003202</v>
      </c>
      <c r="E17" s="160"/>
      <c r="F17" s="161"/>
      <c r="G17" s="76" t="s">
        <v>85</v>
      </c>
      <c r="H17" s="76" t="s">
        <v>286</v>
      </c>
      <c r="J17" s="84"/>
      <c r="K17" s="190">
        <f>-D18</f>
        <v>2832.0896709593467</v>
      </c>
      <c r="L17" s="230"/>
      <c r="M17" s="230"/>
      <c r="N17" s="230"/>
    </row>
    <row r="18" spans="1:14" ht="15.75">
      <c r="A18" s="87" t="s">
        <v>424</v>
      </c>
      <c r="B18" s="199">
        <f>-'[5](1)IBNR Cal13'!C29</f>
        <v>-4148.069670959347</v>
      </c>
      <c r="C18" s="199">
        <v>-1315.98</v>
      </c>
      <c r="D18" s="199">
        <f>B18-C18</f>
        <v>-2832.0896709593467</v>
      </c>
      <c r="E18" s="160"/>
      <c r="F18" s="161"/>
      <c r="G18" s="76" t="s">
        <v>86</v>
      </c>
      <c r="H18" s="76" t="s">
        <v>287</v>
      </c>
      <c r="I18" s="76">
        <f>K15</f>
        <v>664860.7953114785</v>
      </c>
      <c r="J18" s="84"/>
      <c r="K18" s="190"/>
      <c r="L18" s="230"/>
      <c r="M18" s="230"/>
      <c r="N18" s="230"/>
    </row>
    <row r="19" spans="1:14" ht="15.75">
      <c r="A19" s="89"/>
      <c r="B19" s="199"/>
      <c r="C19" s="200"/>
      <c r="D19" s="199"/>
      <c r="E19" s="160"/>
      <c r="F19" s="161"/>
      <c r="G19" s="76" t="s">
        <v>87</v>
      </c>
      <c r="H19" s="76" t="s">
        <v>288</v>
      </c>
      <c r="I19" s="76">
        <f>K16</f>
        <v>216633.17796003202</v>
      </c>
      <c r="J19" s="84"/>
      <c r="K19" s="190"/>
      <c r="L19" s="230"/>
      <c r="M19" s="230"/>
      <c r="N19" s="230"/>
    </row>
    <row r="20" spans="1:14" ht="15.75">
      <c r="A20" s="87" t="s">
        <v>108</v>
      </c>
      <c r="B20" s="201">
        <f>SUM(B16:B19)</f>
        <v>-1236284.34294247</v>
      </c>
      <c r="C20" s="201">
        <f>SUM(C16:C19)</f>
        <v>-351958.27999999997</v>
      </c>
      <c r="D20" s="201">
        <f>SUM(D16:D19)</f>
        <v>-884326.06294247</v>
      </c>
      <c r="E20" s="160"/>
      <c r="F20" s="161"/>
      <c r="G20" s="76" t="s">
        <v>88</v>
      </c>
      <c r="H20" s="76" t="s">
        <v>289</v>
      </c>
      <c r="I20" s="366">
        <f>K17</f>
        <v>2832.0896709593467</v>
      </c>
      <c r="J20" s="84"/>
      <c r="K20" s="190"/>
      <c r="L20" s="80"/>
      <c r="M20" s="80"/>
      <c r="N20" s="80"/>
    </row>
    <row r="21" spans="1:11" ht="16.5" thickBot="1">
      <c r="A21" s="89"/>
      <c r="B21" s="160"/>
      <c r="C21" s="162"/>
      <c r="D21" s="160"/>
      <c r="E21" s="87"/>
      <c r="F21" s="66" t="s">
        <v>461</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295</v>
      </c>
      <c r="B23" s="270">
        <f>B13+B20</f>
        <v>-1236284.34294247</v>
      </c>
      <c r="C23" s="270">
        <f>C13+C20</f>
        <v>-1366987.74</v>
      </c>
      <c r="D23" s="270">
        <f>D13+D20</f>
        <v>130703.39705753012</v>
      </c>
      <c r="E23" s="165"/>
      <c r="F23" s="66" t="s">
        <v>462</v>
      </c>
      <c r="G23" s="67" t="s">
        <v>290</v>
      </c>
      <c r="H23" s="10"/>
      <c r="I23" s="169"/>
      <c r="J23" s="169"/>
      <c r="K23" s="195"/>
    </row>
    <row r="24" spans="1:11" ht="16.5" thickTop="1">
      <c r="A24" s="87"/>
      <c r="B24" s="87" t="s">
        <v>277</v>
      </c>
      <c r="C24" s="367" t="s">
        <v>151</v>
      </c>
      <c r="D24" s="87"/>
      <c r="E24" s="90"/>
      <c r="F24" s="66" t="s">
        <v>293</v>
      </c>
      <c r="G24" s="67" t="s">
        <v>291</v>
      </c>
      <c r="H24" s="67"/>
      <c r="I24" s="169"/>
      <c r="J24" s="169"/>
      <c r="K24" s="195" t="s">
        <v>307</v>
      </c>
    </row>
    <row r="25" spans="1:11" ht="15.75">
      <c r="A25" s="2"/>
      <c r="B25" s="368" t="s">
        <v>141</v>
      </c>
      <c r="C25" s="368" t="s">
        <v>142</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456</v>
      </c>
      <c r="J29" s="196"/>
      <c r="K29" s="195"/>
    </row>
    <row r="30" spans="1:11" ht="15.75">
      <c r="A30" s="2"/>
      <c r="B30" s="90"/>
      <c r="C30" s="90"/>
      <c r="D30" s="90"/>
      <c r="E30" s="90"/>
      <c r="F30" s="66" t="s">
        <v>463</v>
      </c>
      <c r="G30" s="67" t="s">
        <v>111</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109</v>
      </c>
      <c r="G33" s="67" t="s">
        <v>29</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464</v>
      </c>
      <c r="G36" s="67" t="s">
        <v>110</v>
      </c>
      <c r="H36" s="67"/>
      <c r="I36" s="196"/>
      <c r="J36" s="196"/>
      <c r="K36" s="195"/>
    </row>
    <row r="37" spans="1:11" ht="15.75">
      <c r="A37" s="2"/>
      <c r="B37" s="2"/>
      <c r="C37" s="2"/>
      <c r="D37" s="2"/>
      <c r="E37" s="2"/>
      <c r="F37" s="161"/>
      <c r="H37" s="67"/>
      <c r="I37" s="196"/>
      <c r="J37" s="196" t="s">
        <v>467</v>
      </c>
      <c r="K37" s="353"/>
    </row>
    <row r="38" spans="1:11" ht="16.5" thickBot="1">
      <c r="A38" s="2"/>
      <c r="B38" s="2"/>
      <c r="C38" s="2"/>
      <c r="D38" s="2"/>
      <c r="E38" s="2"/>
      <c r="F38" s="73"/>
      <c r="G38" s="72"/>
      <c r="H38" s="72"/>
      <c r="I38" s="196"/>
      <c r="J38" s="196"/>
      <c r="K38" s="195"/>
    </row>
    <row r="39" spans="1:14" ht="16.5" thickBot="1">
      <c r="A39" s="2"/>
      <c r="B39" s="2"/>
      <c r="C39" s="2"/>
      <c r="D39" s="2"/>
      <c r="E39" s="2"/>
      <c r="F39" s="294" t="s">
        <v>466</v>
      </c>
      <c r="G39" s="72" t="s">
        <v>276</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66" t="s">
        <v>297</v>
      </c>
      <c r="B1" s="966"/>
      <c r="C1" s="966"/>
      <c r="D1" s="966"/>
      <c r="E1" s="966"/>
      <c r="F1" s="966"/>
      <c r="G1" s="966"/>
      <c r="H1" s="1017" t="s">
        <v>453</v>
      </c>
      <c r="I1" s="1018"/>
      <c r="J1" s="1018"/>
      <c r="K1" s="1018"/>
      <c r="L1" s="1018"/>
      <c r="M1" s="1019"/>
      <c r="O1" s="224"/>
    </row>
    <row r="2" spans="1:15" s="18" customFormat="1" ht="18.75">
      <c r="A2" s="1022"/>
      <c r="B2" s="1022"/>
      <c r="C2" s="1022"/>
      <c r="D2" s="1022"/>
      <c r="E2" s="1022"/>
      <c r="F2" s="1022"/>
      <c r="G2" s="1022"/>
      <c r="H2" s="1020" t="s">
        <v>454</v>
      </c>
      <c r="I2" s="1016"/>
      <c r="J2" s="1016"/>
      <c r="K2" s="1016"/>
      <c r="L2" s="1016"/>
      <c r="M2" s="1021"/>
      <c r="O2" s="225"/>
    </row>
    <row r="3" spans="1:13" ht="12.75">
      <c r="A3" s="51"/>
      <c r="B3" s="52"/>
      <c r="C3" s="52"/>
      <c r="D3" s="205"/>
      <c r="E3" s="52"/>
      <c r="F3" s="52"/>
      <c r="G3" s="52"/>
      <c r="H3" s="66" t="s">
        <v>62</v>
      </c>
      <c r="I3" s="10" t="s">
        <v>32</v>
      </c>
      <c r="J3" s="10"/>
      <c r="K3" s="265"/>
      <c r="L3" s="179" t="s">
        <v>30</v>
      </c>
      <c r="M3" s="178" t="s">
        <v>34</v>
      </c>
    </row>
    <row r="4" spans="1:15" s="54" customFormat="1" ht="15.75">
      <c r="A4" s="1016" t="s">
        <v>235</v>
      </c>
      <c r="B4" s="1016"/>
      <c r="C4" s="1016"/>
      <c r="D4" s="1016"/>
      <c r="E4" s="1016"/>
      <c r="F4" s="1016"/>
      <c r="G4" s="1016"/>
      <c r="H4" s="66" t="s">
        <v>455</v>
      </c>
      <c r="I4" s="67"/>
      <c r="J4" s="67"/>
      <c r="K4" s="266"/>
      <c r="L4" s="179"/>
      <c r="M4" s="180"/>
      <c r="O4" s="226"/>
    </row>
    <row r="5" spans="1:16" s="54" customFormat="1" ht="15.75">
      <c r="A5" s="1016" t="s">
        <v>59</v>
      </c>
      <c r="B5" s="1016"/>
      <c r="C5" s="1016"/>
      <c r="D5" s="1016"/>
      <c r="E5" s="1016"/>
      <c r="F5" s="1016"/>
      <c r="G5" s="1016"/>
      <c r="H5" s="66" t="s">
        <v>456</v>
      </c>
      <c r="I5" s="67" t="s">
        <v>457</v>
      </c>
      <c r="J5" s="67" t="s">
        <v>458</v>
      </c>
      <c r="K5" s="266" t="s">
        <v>459</v>
      </c>
      <c r="L5" s="177"/>
      <c r="M5" s="180" t="s">
        <v>460</v>
      </c>
      <c r="O5" s="226"/>
      <c r="P5" s="226"/>
    </row>
    <row r="6" spans="1:16" ht="12.75">
      <c r="A6" s="55"/>
      <c r="B6" s="55"/>
      <c r="C6" s="55"/>
      <c r="D6" s="206"/>
      <c r="E6" s="55"/>
      <c r="F6" s="55"/>
      <c r="G6" s="55"/>
      <c r="H6" s="68"/>
      <c r="I6" s="69"/>
      <c r="J6" s="69"/>
      <c r="K6" s="267"/>
      <c r="L6" s="181"/>
      <c r="M6" s="182"/>
      <c r="O6" s="69"/>
      <c r="P6" s="69"/>
    </row>
    <row r="7" spans="1:16" ht="38.25">
      <c r="A7" s="56"/>
      <c r="B7" s="57" t="s">
        <v>17</v>
      </c>
      <c r="C7" s="57" t="s">
        <v>18</v>
      </c>
      <c r="D7" s="207" t="s">
        <v>19</v>
      </c>
      <c r="E7" s="57"/>
      <c r="F7" s="57" t="s">
        <v>245</v>
      </c>
      <c r="G7" s="57" t="s">
        <v>20</v>
      </c>
      <c r="H7" s="70">
        <v>37621</v>
      </c>
      <c r="I7" s="10" t="s">
        <v>25</v>
      </c>
      <c r="J7" s="10" t="s">
        <v>265</v>
      </c>
      <c r="K7" s="265">
        <f>+F23</f>
        <v>2206.52</v>
      </c>
      <c r="L7" s="181"/>
      <c r="M7" s="178"/>
      <c r="P7" s="223"/>
    </row>
    <row r="8" spans="1:13" ht="12.75" hidden="1">
      <c r="A8" s="10"/>
      <c r="B8" s="10"/>
      <c r="C8" s="10"/>
      <c r="D8" s="208"/>
      <c r="E8" s="58"/>
      <c r="F8" s="58"/>
      <c r="G8" s="58"/>
      <c r="H8" s="65"/>
      <c r="I8" s="10" t="s">
        <v>273</v>
      </c>
      <c r="J8" s="10" t="s">
        <v>265</v>
      </c>
      <c r="K8" s="265">
        <f>+F29</f>
        <v>55.86</v>
      </c>
      <c r="L8" s="181"/>
      <c r="M8" s="178"/>
    </row>
    <row r="9" spans="1:16" ht="12.75" hidden="1">
      <c r="A9" s="10"/>
      <c r="B9" s="64"/>
      <c r="C9" s="64"/>
      <c r="D9" s="208"/>
      <c r="E9" s="58"/>
      <c r="F9" s="58"/>
      <c r="G9" s="58"/>
      <c r="H9" s="65"/>
      <c r="I9" s="10" t="s">
        <v>267</v>
      </c>
      <c r="J9" s="10" t="s">
        <v>265</v>
      </c>
      <c r="K9" s="265">
        <f>+F35</f>
        <v>51079.75</v>
      </c>
      <c r="L9" s="181"/>
      <c r="M9" s="178"/>
      <c r="P9" s="223"/>
    </row>
    <row r="10" spans="1:13" ht="12.75" hidden="1">
      <c r="A10" s="59"/>
      <c r="B10" s="63"/>
      <c r="C10" s="63"/>
      <c r="D10" s="219"/>
      <c r="E10" s="60"/>
      <c r="F10" s="60"/>
      <c r="G10" s="60"/>
      <c r="H10" s="65"/>
      <c r="I10" s="10" t="s">
        <v>50</v>
      </c>
      <c r="J10" s="10" t="s">
        <v>265</v>
      </c>
      <c r="K10" s="265">
        <f>+F41</f>
        <v>60568.8</v>
      </c>
      <c r="L10" s="181"/>
      <c r="M10" s="178"/>
    </row>
    <row r="11" spans="1:16" ht="12.75" hidden="1">
      <c r="A11" s="10"/>
      <c r="B11" s="212"/>
      <c r="C11" s="271"/>
      <c r="D11" s="208"/>
      <c r="E11" s="204"/>
      <c r="F11" s="282"/>
      <c r="G11" s="212"/>
      <c r="H11" s="65"/>
      <c r="I11" s="10" t="s">
        <v>274</v>
      </c>
      <c r="J11" s="10" t="s">
        <v>266</v>
      </c>
      <c r="K11" s="265">
        <f>+F30</f>
        <v>0</v>
      </c>
      <c r="L11" s="181"/>
      <c r="M11" s="178"/>
      <c r="P11" s="223"/>
    </row>
    <row r="12" spans="1:16" ht="12.75" hidden="1">
      <c r="A12" s="10"/>
      <c r="B12" s="212"/>
      <c r="C12" s="271"/>
      <c r="D12" s="208"/>
      <c r="E12" s="204"/>
      <c r="F12" s="284"/>
      <c r="G12" s="212"/>
      <c r="H12" s="65"/>
      <c r="I12" s="10" t="s">
        <v>79</v>
      </c>
      <c r="J12" s="10" t="s">
        <v>266</v>
      </c>
      <c r="K12" s="265">
        <f>+F36</f>
        <v>2606.21</v>
      </c>
      <c r="L12" s="181"/>
      <c r="M12" s="178"/>
      <c r="P12" s="223"/>
    </row>
    <row r="13" spans="1:13" ht="12.75" hidden="1">
      <c r="A13" s="10"/>
      <c r="B13" s="212"/>
      <c r="C13" s="272"/>
      <c r="D13" s="208"/>
      <c r="E13" s="204"/>
      <c r="F13" s="284"/>
      <c r="G13" s="212"/>
      <c r="H13" s="65"/>
      <c r="I13" s="10" t="s">
        <v>51</v>
      </c>
      <c r="J13" s="10" t="s">
        <v>266</v>
      </c>
      <c r="K13" s="265">
        <f>+F42</f>
        <v>23392.86</v>
      </c>
      <c r="L13" s="181"/>
      <c r="M13" s="178"/>
    </row>
    <row r="14" spans="2:16" ht="12.75" hidden="1">
      <c r="B14" s="174"/>
      <c r="C14" s="273"/>
      <c r="D14" s="208"/>
      <c r="E14" s="214"/>
      <c r="F14" s="283"/>
      <c r="G14" s="214"/>
      <c r="H14" s="65"/>
      <c r="I14" s="10" t="s">
        <v>268</v>
      </c>
      <c r="J14" s="10" t="s">
        <v>241</v>
      </c>
      <c r="K14" s="265">
        <f>+F37</f>
        <v>0</v>
      </c>
      <c r="L14" s="234"/>
      <c r="M14" s="235"/>
      <c r="P14" s="223"/>
    </row>
    <row r="15" spans="2:13" ht="12.75">
      <c r="B15" s="175"/>
      <c r="C15" s="274"/>
      <c r="D15" s="219"/>
      <c r="E15" s="204"/>
      <c r="F15" s="277"/>
      <c r="G15" s="204"/>
      <c r="H15" s="65"/>
      <c r="I15" s="10"/>
      <c r="J15" s="10"/>
      <c r="K15" s="265"/>
      <c r="L15" s="181"/>
      <c r="M15" s="178"/>
    </row>
    <row r="16" spans="1:13" ht="12.75">
      <c r="A16" s="59" t="s">
        <v>283</v>
      </c>
      <c r="B16" s="175"/>
      <c r="C16" s="175"/>
      <c r="D16" s="219"/>
      <c r="E16" s="204"/>
      <c r="F16" s="277"/>
      <c r="G16" s="204"/>
      <c r="H16" s="65"/>
      <c r="I16" s="10"/>
      <c r="J16" s="10"/>
      <c r="K16" s="265"/>
      <c r="L16" s="181"/>
      <c r="M16" s="178"/>
    </row>
    <row r="17" spans="1:13" ht="12.75">
      <c r="A17" s="10" t="s">
        <v>21</v>
      </c>
      <c r="B17" s="212">
        <f>+'[5]TB3-31-04 (Pre)'!G469</f>
        <v>0</v>
      </c>
      <c r="C17" s="212">
        <f>SUM('[5]TB03-31-04(Final)'!F361:F364)</f>
        <v>0</v>
      </c>
      <c r="D17" s="751" t="e">
        <f>C17/C20</f>
        <v>#DIV/0!</v>
      </c>
      <c r="E17" s="204"/>
      <c r="F17" s="275" t="e">
        <f>SUM('[5]TB03-31-04(Final)'!F523:F524)</f>
        <v>#REF!</v>
      </c>
      <c r="G17" s="212" t="e">
        <f>+B17+F17</f>
        <v>#REF!</v>
      </c>
      <c r="H17" s="237" t="s">
        <v>60</v>
      </c>
      <c r="I17" s="10" t="s">
        <v>27</v>
      </c>
      <c r="J17" s="10" t="s">
        <v>28</v>
      </c>
      <c r="K17" s="265"/>
      <c r="L17" s="177"/>
      <c r="M17" s="178">
        <f>SUM(K7:K17)+0.01</f>
        <v>139910.01</v>
      </c>
    </row>
    <row r="18" spans="1:16" ht="12.75">
      <c r="A18" s="10" t="s">
        <v>22</v>
      </c>
      <c r="B18" s="212" t="e">
        <f>+'[5]TB03-31-04(Final)'!F469+'[5]TB03-31-04(Final)'!F470</f>
        <v>#REF!</v>
      </c>
      <c r="C18" s="212">
        <f>SUM('[5]TB03-31-04(Final)'!F370:F372)</f>
        <v>0</v>
      </c>
      <c r="D18" s="751" t="e">
        <f>C18/C20</f>
        <v>#DIV/0!</v>
      </c>
      <c r="E18" s="204"/>
      <c r="F18" s="275" t="e">
        <f>SUM('[5]TB03-31-04(Final)'!F530:F531)</f>
        <v>#REF!</v>
      </c>
      <c r="G18" s="212" t="e">
        <f>+B18+F18</f>
        <v>#REF!</v>
      </c>
      <c r="H18" s="237" t="s">
        <v>61</v>
      </c>
      <c r="I18" s="10"/>
      <c r="J18" s="10"/>
      <c r="K18" s="265"/>
      <c r="L18" s="177"/>
      <c r="M18" s="178"/>
      <c r="P18" s="223"/>
    </row>
    <row r="19" spans="1:13" ht="12.75">
      <c r="A19" s="10" t="s">
        <v>436</v>
      </c>
      <c r="B19" s="212">
        <v>0</v>
      </c>
      <c r="C19" s="213">
        <v>0</v>
      </c>
      <c r="D19" s="751" t="e">
        <f>C19/C20</f>
        <v>#DIV/0!</v>
      </c>
      <c r="E19" s="204"/>
      <c r="F19" s="275">
        <v>0</v>
      </c>
      <c r="G19" s="212">
        <v>0</v>
      </c>
      <c r="H19" s="65"/>
      <c r="I19" s="10"/>
      <c r="J19" s="10"/>
      <c r="K19" s="265"/>
      <c r="L19" s="177"/>
      <c r="M19" s="178"/>
    </row>
    <row r="20" spans="1:17" ht="13.5" thickBot="1">
      <c r="A20" s="8" t="s">
        <v>449</v>
      </c>
      <c r="B20" s="174" t="e">
        <f>SUM(B17:B19)</f>
        <v>#REF!</v>
      </c>
      <c r="C20" s="174">
        <f>SUM(C17:C19)</f>
        <v>0</v>
      </c>
      <c r="D20" s="749">
        <f>C20/$C$49</f>
        <v>0</v>
      </c>
      <c r="E20" s="214"/>
      <c r="F20" s="276" t="e">
        <f>SUM(F17:F19)</f>
        <v>#REF!</v>
      </c>
      <c r="G20" s="214" t="e">
        <f>SUM(G17:G19)</f>
        <v>#REF!</v>
      </c>
      <c r="H20" s="66" t="s">
        <v>461</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21</v>
      </c>
      <c r="B23" s="175">
        <f>+'[5]TB3-31-04 (Pre)'!F470</f>
        <v>980.5</v>
      </c>
      <c r="C23" s="212">
        <f>+'[5]TB3-31-04 (Pre)'!F362</f>
        <v>59250</v>
      </c>
      <c r="D23" s="749">
        <f>C23/C26</f>
        <v>1</v>
      </c>
      <c r="E23" s="204"/>
      <c r="F23" s="275">
        <f>+'[5]TB3-31-04 (Pre)'!F517</f>
        <v>2206.52</v>
      </c>
      <c r="G23" s="212">
        <f>B23+F23</f>
        <v>3187.02</v>
      </c>
      <c r="H23" s="66" t="s">
        <v>462</v>
      </c>
      <c r="I23" s="67" t="s">
        <v>242</v>
      </c>
      <c r="J23" s="67"/>
      <c r="K23" s="265"/>
      <c r="L23" s="177"/>
      <c r="M23" s="178" t="s">
        <v>307</v>
      </c>
      <c r="O23" s="53"/>
    </row>
    <row r="24" spans="1:16" ht="12.75">
      <c r="A24" s="10" t="s">
        <v>22</v>
      </c>
      <c r="B24" s="212">
        <f>+'[5]TB03-31-04(Final)'!F471</f>
        <v>0</v>
      </c>
      <c r="C24" s="212">
        <f>+'[5]TB3-31-04 (Pre)'!F370</f>
        <v>0</v>
      </c>
      <c r="D24" s="749">
        <f>C24/C26</f>
        <v>0</v>
      </c>
      <c r="E24" s="204"/>
      <c r="F24" s="275">
        <f>+'[5]TB03-31-04(Final)'!F532</f>
        <v>0</v>
      </c>
      <c r="G24" s="212">
        <f>B24+F24</f>
        <v>0</v>
      </c>
      <c r="H24" s="66" t="s">
        <v>31</v>
      </c>
      <c r="I24" s="67" t="s">
        <v>33</v>
      </c>
      <c r="J24" s="67"/>
      <c r="K24" s="265"/>
      <c r="L24" s="177"/>
      <c r="M24" s="178"/>
      <c r="O24" s="228"/>
      <c r="P24" s="229"/>
    </row>
    <row r="25" spans="1:16" ht="12.75">
      <c r="A25" s="10" t="s">
        <v>436</v>
      </c>
      <c r="B25" s="212">
        <f>+'[5]TB03-31-04(Final)'!D486</f>
        <v>-374.81</v>
      </c>
      <c r="C25" s="212">
        <v>0</v>
      </c>
      <c r="D25" s="749">
        <f>C25/C26</f>
        <v>0</v>
      </c>
      <c r="E25" s="204"/>
      <c r="F25" s="275">
        <v>0</v>
      </c>
      <c r="G25" s="212">
        <f>F25+B25</f>
        <v>-374.81</v>
      </c>
      <c r="H25" s="65"/>
      <c r="I25" s="71"/>
      <c r="J25" s="10"/>
      <c r="K25" s="265"/>
      <c r="L25" s="177"/>
      <c r="M25" s="178"/>
      <c r="O25" s="228"/>
      <c r="P25" s="229"/>
    </row>
    <row r="26" spans="1:15" ht="13.5" thickBot="1">
      <c r="A26" s="8" t="s">
        <v>449</v>
      </c>
      <c r="B26" s="174">
        <f>SUM(B23:B25)</f>
        <v>605.69</v>
      </c>
      <c r="C26" s="174">
        <f>SUM(C23:C25)</f>
        <v>59250</v>
      </c>
      <c r="D26" s="749">
        <f>C26/$C$49</f>
        <v>0.015765811858006993</v>
      </c>
      <c r="E26" s="214"/>
      <c r="F26" s="276">
        <f>SUM(F23:F25)</f>
        <v>2206.52</v>
      </c>
      <c r="G26" s="214">
        <f>SUM(G23:G25)</f>
        <v>2812.21</v>
      </c>
      <c r="H26" s="66" t="s">
        <v>463</v>
      </c>
      <c r="I26" s="72"/>
      <c r="J26" s="72"/>
      <c r="K26" s="265"/>
      <c r="L26" s="177"/>
      <c r="M26" s="178"/>
      <c r="O26" s="53"/>
    </row>
    <row r="27" spans="2:13" ht="12.75">
      <c r="B27" s="175"/>
      <c r="C27" s="175"/>
      <c r="D27" s="752"/>
      <c r="E27" s="204"/>
      <c r="F27" s="277"/>
      <c r="G27" s="204"/>
      <c r="H27" s="66"/>
      <c r="I27" s="67" t="s">
        <v>239</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21</v>
      </c>
      <c r="B29" s="175">
        <f>+'[5]TB3-31-04 (Pre)'!F471</f>
        <v>728.14</v>
      </c>
      <c r="C29" s="212">
        <f>+'[5]TB3-31-04 (Pre)'!F363</f>
        <v>1500</v>
      </c>
      <c r="D29" s="749">
        <f>C29/C32</f>
        <v>1</v>
      </c>
      <c r="E29" s="204"/>
      <c r="F29" s="275">
        <f>+'[5]TB3-31-04 (Pre)'!F518</f>
        <v>55.86</v>
      </c>
      <c r="G29" s="212">
        <f>B29+F29</f>
        <v>784</v>
      </c>
      <c r="H29" s="66" t="s">
        <v>109</v>
      </c>
      <c r="I29" s="72"/>
      <c r="J29" s="72"/>
      <c r="K29" s="266" t="s">
        <v>456</v>
      </c>
      <c r="L29" s="179"/>
      <c r="M29" s="178"/>
    </row>
    <row r="30" spans="1:13" ht="12.75">
      <c r="A30" s="10" t="s">
        <v>22</v>
      </c>
      <c r="B30" s="212">
        <f>+'[5]TB3-31-04 (Pre)'!F478</f>
        <v>254</v>
      </c>
      <c r="C30" s="212">
        <f>+'[5]TB3-31-04 (Pre)'!F371</f>
        <v>0</v>
      </c>
      <c r="D30" s="749">
        <f>C30/C32</f>
        <v>0</v>
      </c>
      <c r="E30" s="204"/>
      <c r="F30" s="275">
        <f>+'[5]TB3-31-04 (Pre)'!F525</f>
        <v>0</v>
      </c>
      <c r="G30" s="212">
        <f>B30+F30</f>
        <v>254</v>
      </c>
      <c r="H30" s="66"/>
      <c r="I30" s="67" t="s">
        <v>29</v>
      </c>
      <c r="J30" s="67"/>
      <c r="K30" s="266"/>
      <c r="L30" s="179"/>
      <c r="M30" s="178"/>
    </row>
    <row r="31" spans="1:13" ht="12.75">
      <c r="A31" s="10" t="s">
        <v>436</v>
      </c>
      <c r="B31" s="213">
        <v>0</v>
      </c>
      <c r="C31" s="213">
        <v>0</v>
      </c>
      <c r="D31" s="749">
        <f>C31/C32</f>
        <v>0</v>
      </c>
      <c r="E31" s="204"/>
      <c r="F31" s="275">
        <f>+'[5]TB03-31-04(Final)'!F548</f>
        <v>1047.62</v>
      </c>
      <c r="G31" s="212">
        <f>F31+B31</f>
        <v>1047.62</v>
      </c>
      <c r="H31" s="66"/>
      <c r="I31" s="67"/>
      <c r="J31" s="67"/>
      <c r="K31" s="266"/>
      <c r="L31" s="179"/>
      <c r="M31" s="178"/>
    </row>
    <row r="32" spans="1:13" ht="13.5" thickBot="1">
      <c r="A32" s="8" t="s">
        <v>449</v>
      </c>
      <c r="B32" s="174">
        <f>SUM(B29:B31)</f>
        <v>982.14</v>
      </c>
      <c r="C32" s="174">
        <f>SUM(C29:C31)</f>
        <v>1500</v>
      </c>
      <c r="D32" s="749">
        <f>C32/$C$49</f>
        <v>0.00039913447741789855</v>
      </c>
      <c r="E32" s="214"/>
      <c r="F32" s="276">
        <f>SUM(F29:F31)</f>
        <v>1103.4799999999998</v>
      </c>
      <c r="G32" s="214">
        <f>SUM(G29:G31)</f>
        <v>2085.62</v>
      </c>
      <c r="H32" s="66" t="s">
        <v>464</v>
      </c>
      <c r="I32" s="72"/>
      <c r="J32" s="72"/>
      <c r="K32" s="266"/>
      <c r="L32" s="179"/>
      <c r="M32" s="178"/>
    </row>
    <row r="33" spans="2:13" ht="12.75">
      <c r="B33" s="175"/>
      <c r="C33" s="175"/>
      <c r="D33" s="752"/>
      <c r="E33" s="204"/>
      <c r="F33" s="277"/>
      <c r="G33" s="204"/>
      <c r="H33" s="66"/>
      <c r="I33" s="67" t="s">
        <v>465</v>
      </c>
      <c r="J33" s="67"/>
      <c r="K33" s="266"/>
      <c r="L33" s="179"/>
      <c r="M33" s="178"/>
    </row>
    <row r="34" spans="1:13" ht="12.75">
      <c r="A34" s="59">
        <v>2002</v>
      </c>
      <c r="B34" s="175"/>
      <c r="C34" s="175"/>
      <c r="D34" s="752"/>
      <c r="E34" s="204"/>
      <c r="F34" s="277"/>
      <c r="G34" s="204"/>
      <c r="H34" s="66"/>
      <c r="I34" s="67"/>
      <c r="J34" s="67"/>
      <c r="K34" s="266"/>
      <c r="L34" s="179" t="s">
        <v>467</v>
      </c>
      <c r="M34" s="178"/>
    </row>
    <row r="35" spans="1:13" ht="13.5" thickBot="1">
      <c r="A35" s="10" t="s">
        <v>21</v>
      </c>
      <c r="B35" s="175">
        <f>+'[5]TB3-31-04 (Pre)'!F472</f>
        <v>40871.79</v>
      </c>
      <c r="C35" s="212">
        <f>+'[5]TB3-31-04 (Pre)'!F364</f>
        <v>1371608.06</v>
      </c>
      <c r="D35" s="749">
        <f>C35/C38</f>
        <v>0.9514546164884548</v>
      </c>
      <c r="E35" s="215"/>
      <c r="F35" s="275">
        <f>+'[5]TB3-31-04 (Pre)'!F519</f>
        <v>51079.75</v>
      </c>
      <c r="G35" s="212">
        <f>B35+F35</f>
        <v>91951.54000000001</v>
      </c>
      <c r="H35" s="66" t="s">
        <v>466</v>
      </c>
      <c r="I35" s="72"/>
      <c r="J35" s="72"/>
      <c r="K35" s="266"/>
      <c r="L35" s="179"/>
      <c r="M35" s="178"/>
    </row>
    <row r="36" spans="1:13" ht="13.5" thickBot="1">
      <c r="A36" s="10" t="s">
        <v>22</v>
      </c>
      <c r="B36" s="212">
        <f>+'[5]TB3-31-04 (Pre)'!F479</f>
        <v>36651.02</v>
      </c>
      <c r="C36" s="212">
        <f>+'[5]TB3-31-04 (Pre)'!F372</f>
        <v>69982.57</v>
      </c>
      <c r="D36" s="749">
        <f>C36/C38</f>
        <v>0.04854538351154516</v>
      </c>
      <c r="E36" s="215"/>
      <c r="F36" s="275">
        <f>+'[5]TB3-31-04 (Pre)'!F526</f>
        <v>2606.21</v>
      </c>
      <c r="G36" s="212">
        <f>B36+F36</f>
        <v>39257.229999999996</v>
      </c>
      <c r="H36" s="73"/>
      <c r="I36" s="72" t="s">
        <v>276</v>
      </c>
      <c r="J36" s="72"/>
      <c r="K36" s="268"/>
      <c r="L36" s="185"/>
      <c r="M36" s="186"/>
    </row>
    <row r="37" spans="1:10" ht="12.75">
      <c r="A37" s="10" t="s">
        <v>436</v>
      </c>
      <c r="B37" s="213">
        <f>+'[5]TB03-31-04(Final)'!F479</f>
        <v>0</v>
      </c>
      <c r="C37" s="213">
        <f>+'[5]TB3-31-04 (Pre)'!F379</f>
        <v>0</v>
      </c>
      <c r="D37" s="749">
        <f>C37/C38</f>
        <v>0</v>
      </c>
      <c r="E37" s="215"/>
      <c r="F37" s="275">
        <f>+'[5]TB03-31-04(Final)'!F540</f>
        <v>0</v>
      </c>
      <c r="G37" s="212">
        <f>F37+B37</f>
        <v>0</v>
      </c>
      <c r="H37" s="8"/>
      <c r="I37" s="8"/>
      <c r="J37" s="8"/>
    </row>
    <row r="38" spans="1:10" ht="12.75">
      <c r="A38" s="8" t="s">
        <v>449</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21</v>
      </c>
      <c r="B41" s="175">
        <f>+'[5]TB3-31-04 (Pre)'!F473</f>
        <v>87858.67</v>
      </c>
      <c r="C41" s="212">
        <f>+'[5]TB3-31-04 (Pre)'!F365</f>
        <v>1626410.46</v>
      </c>
      <c r="D41" s="749">
        <f>C41/C44</f>
        <v>0.7209933397914958</v>
      </c>
      <c r="E41" s="215"/>
      <c r="F41" s="275">
        <f>+'[5]TB3-31-04 (Pre)'!F520</f>
        <v>60568.8</v>
      </c>
      <c r="G41" s="212">
        <f>B41+F41</f>
        <v>148427.47</v>
      </c>
      <c r="H41" s="94"/>
      <c r="I41" s="94"/>
      <c r="J41" s="94"/>
      <c r="K41" s="281"/>
      <c r="L41" s="188"/>
      <c r="M41" s="188"/>
      <c r="O41" s="227"/>
    </row>
    <row r="42" spans="1:15" s="136" customFormat="1" ht="12.75">
      <c r="A42" s="10" t="s">
        <v>22</v>
      </c>
      <c r="B42" s="212">
        <f>+'[5]TB3-31-04 (Pre)'!F480</f>
        <v>122270.13</v>
      </c>
      <c r="C42" s="212">
        <f>+'[5]TB3-31-04 (Pre)'!F373</f>
        <v>628151.78</v>
      </c>
      <c r="D42" s="749">
        <f>C42/C44</f>
        <v>0.2784618402897956</v>
      </c>
      <c r="E42" s="215"/>
      <c r="F42" s="275">
        <f>+'[5]TB3-31-04 (Pre)'!F527</f>
        <v>23392.86</v>
      </c>
      <c r="G42" s="212">
        <f>B42+F42</f>
        <v>145662.99</v>
      </c>
      <c r="H42" s="94"/>
      <c r="I42" s="94"/>
      <c r="J42" s="94"/>
      <c r="K42" s="281"/>
      <c r="L42" s="188"/>
      <c r="M42" s="188"/>
      <c r="O42" s="227"/>
    </row>
    <row r="43" spans="1:15" s="136" customFormat="1" ht="12.75">
      <c r="A43" s="10" t="s">
        <v>436</v>
      </c>
      <c r="B43" s="213">
        <v>0</v>
      </c>
      <c r="C43" s="213">
        <f>+'[5]TB3-31-04 (Pre)'!F380</f>
        <v>1229</v>
      </c>
      <c r="D43" s="749">
        <f>C43/C44</f>
        <v>0.000544819918708435</v>
      </c>
      <c r="E43" s="215"/>
      <c r="F43" s="275">
        <f>+'[5]TB3-31-04 (Pre)'!F533</f>
        <v>45.77</v>
      </c>
      <c r="G43" s="212">
        <f>F43+B43</f>
        <v>45.77</v>
      </c>
      <c r="H43" s="94"/>
      <c r="I43" s="94"/>
      <c r="J43" s="94"/>
      <c r="K43" s="281"/>
      <c r="L43" s="188"/>
      <c r="M43" s="188"/>
      <c r="O43" s="227"/>
    </row>
    <row r="44" spans="1:13" ht="12.75">
      <c r="A44" s="8" t="s">
        <v>449</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23</v>
      </c>
      <c r="B45" s="175"/>
      <c r="C45" s="175"/>
      <c r="D45" s="752"/>
      <c r="E45" s="204"/>
      <c r="F45" s="277"/>
      <c r="G45" s="204"/>
      <c r="H45" s="8"/>
      <c r="I45" s="8"/>
      <c r="J45" s="8"/>
    </row>
    <row r="46" spans="1:7" ht="12.75">
      <c r="A46" s="67" t="s">
        <v>21</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22</v>
      </c>
      <c r="B47" s="217" t="e">
        <f t="shared" si="0"/>
        <v>#REF!</v>
      </c>
      <c r="C47" s="217">
        <f t="shared" si="0"/>
        <v>698134.3500000001</v>
      </c>
      <c r="D47" s="750">
        <f>C47/C49</f>
        <v>0.1857663259698229</v>
      </c>
      <c r="E47" s="217"/>
      <c r="F47" s="278" t="e">
        <f>+F18+F24+F30+F36+F42</f>
        <v>#REF!</v>
      </c>
      <c r="G47" s="217" t="e">
        <f>B47+F47</f>
        <v>#REF!</v>
      </c>
    </row>
    <row r="48" spans="1:7" ht="12.75">
      <c r="A48" s="67" t="s">
        <v>436</v>
      </c>
      <c r="B48" s="217">
        <f t="shared" si="0"/>
        <v>-374.81</v>
      </c>
      <c r="C48" s="217">
        <f t="shared" si="0"/>
        <v>1229</v>
      </c>
      <c r="D48" s="750">
        <f>C48/C49</f>
        <v>0.0003270241818310649</v>
      </c>
      <c r="E48" s="217"/>
      <c r="F48" s="278">
        <f>+F43+F37+F31+F25+F19</f>
        <v>1093.3899999999999</v>
      </c>
      <c r="G48" s="217">
        <f>B48+F48</f>
        <v>718.5799999999999</v>
      </c>
    </row>
    <row r="49" spans="1:7" ht="13.5" thickBot="1">
      <c r="A49" s="94" t="s">
        <v>449</v>
      </c>
      <c r="B49" s="305" t="e">
        <f>SUM(B46:B48)</f>
        <v>#REF!</v>
      </c>
      <c r="C49" s="305">
        <f>SUM(C46:C48)</f>
        <v>3758131.87</v>
      </c>
      <c r="D49" s="750">
        <f>C49/$C$49</f>
        <v>1</v>
      </c>
      <c r="E49" s="305"/>
      <c r="F49" s="306" t="e">
        <f>SUM(F46:F48)</f>
        <v>#REF!</v>
      </c>
      <c r="G49" s="305" t="e">
        <f>B49+F49</f>
        <v>#REF!</v>
      </c>
    </row>
    <row r="50" spans="1:15" s="578" customFormat="1" ht="13.5" thickTop="1">
      <c r="A50" s="574" t="s">
        <v>240</v>
      </c>
      <c r="B50" s="575">
        <f>+'[5]TB03-31-04(Final)'!G486</f>
        <v>292907.87</v>
      </c>
      <c r="C50" s="575">
        <f>+'[5]TB03-31-04(Final)'!G384</f>
        <v>3791762.3499999996</v>
      </c>
      <c r="D50" s="576"/>
      <c r="E50" s="577"/>
      <c r="F50" s="577">
        <f>+'[5]TB03-31-04(Final)'!G547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92</v>
      </c>
      <c r="B52" s="300"/>
      <c r="C52" s="300"/>
      <c r="D52" s="209"/>
      <c r="E52" s="175"/>
      <c r="F52" s="218"/>
      <c r="G52" s="175"/>
    </row>
    <row r="53" spans="1:7" ht="25.5">
      <c r="A53" s="62" t="s">
        <v>24</v>
      </c>
      <c r="B53" s="176"/>
      <c r="C53" s="176"/>
      <c r="D53" s="210"/>
      <c r="E53" s="204"/>
      <c r="F53" s="297">
        <v>495387.39</v>
      </c>
      <c r="G53" s="204"/>
    </row>
    <row r="55" spans="1:6" ht="12.75">
      <c r="A55" s="118" t="s">
        <v>236</v>
      </c>
      <c r="B55" s="123">
        <v>51200</v>
      </c>
      <c r="C55" s="124">
        <v>51100</v>
      </c>
      <c r="D55" s="220"/>
      <c r="E55" s="125"/>
      <c r="F55" s="125" t="s">
        <v>238</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23" t="s">
        <v>127</v>
      </c>
      <c r="B2" s="1023"/>
      <c r="C2" s="1023"/>
      <c r="D2" s="1023"/>
      <c r="E2" s="1023"/>
      <c r="F2" s="1023"/>
      <c r="G2" s="1023"/>
      <c r="H2" s="1023"/>
      <c r="I2" s="1023"/>
      <c r="J2" s="1023"/>
    </row>
    <row r="3" spans="1:7" ht="19.5" customHeight="1">
      <c r="A3" s="243"/>
      <c r="B3" s="244"/>
      <c r="C3" s="244"/>
      <c r="E3" s="244"/>
      <c r="F3" s="244"/>
      <c r="G3" s="244"/>
    </row>
    <row r="4" spans="1:10" ht="19.5" customHeight="1">
      <c r="A4" s="1024" t="s">
        <v>128</v>
      </c>
      <c r="B4" s="1024"/>
      <c r="C4" s="1024"/>
      <c r="D4" s="1024"/>
      <c r="E4" s="1024"/>
      <c r="F4" s="1024"/>
      <c r="G4" s="1024"/>
      <c r="H4" s="1024"/>
      <c r="I4" s="1024"/>
      <c r="J4" s="1024"/>
    </row>
    <row r="5" ht="19.5" customHeight="1">
      <c r="B5" s="9"/>
    </row>
    <row r="6" spans="2:10" ht="19.5" customHeight="1">
      <c r="B6" s="1025" t="s">
        <v>472</v>
      </c>
      <c r="C6" s="1025"/>
      <c r="D6" s="1025"/>
      <c r="E6" s="6"/>
      <c r="F6" s="6"/>
      <c r="G6" s="6"/>
      <c r="H6" s="141" t="s">
        <v>473</v>
      </c>
      <c r="I6" s="141"/>
      <c r="J6" s="140"/>
    </row>
    <row r="7" spans="2:10" ht="19.5" customHeight="1" thickBot="1">
      <c r="B7" s="1026" t="s">
        <v>129</v>
      </c>
      <c r="C7" s="1026"/>
      <c r="D7" s="1026"/>
      <c r="E7" s="248"/>
      <c r="F7" s="248"/>
      <c r="G7" s="248"/>
      <c r="H7" s="1026" t="s">
        <v>129</v>
      </c>
      <c r="I7" s="1026"/>
      <c r="J7" s="1026"/>
    </row>
    <row r="8" spans="2:10" ht="19.5" customHeight="1" thickBot="1">
      <c r="B8" s="245">
        <v>2002</v>
      </c>
      <c r="C8" s="139"/>
      <c r="D8" s="245">
        <v>2001</v>
      </c>
      <c r="E8" s="139"/>
      <c r="F8" s="359" t="s">
        <v>264</v>
      </c>
      <c r="G8" s="139"/>
      <c r="H8" s="245">
        <v>2002</v>
      </c>
      <c r="I8" s="139"/>
      <c r="J8" s="245">
        <v>2001</v>
      </c>
    </row>
    <row r="9" spans="1:9" ht="19.5" customHeight="1">
      <c r="A9" s="14"/>
      <c r="B9" s="112"/>
      <c r="C9" s="112"/>
      <c r="D9" s="14"/>
      <c r="E9" s="130"/>
      <c r="F9" s="130"/>
      <c r="G9" s="130"/>
      <c r="I9" s="45"/>
    </row>
    <row r="10" spans="1:10" ht="19.5" customHeight="1">
      <c r="A10" s="95" t="s">
        <v>130</v>
      </c>
      <c r="B10" s="131">
        <f>-'[5]TB03-31-04(Final)'!E317</f>
        <v>5676242</v>
      </c>
      <c r="C10" s="131"/>
      <c r="D10" s="131">
        <f>+'[10]Highlights (pg 1)'!$B$10</f>
        <v>4280821</v>
      </c>
      <c r="E10" s="131"/>
      <c r="F10" s="361">
        <f>(+B10-D10)/D10</f>
        <v>0.3259704154880571</v>
      </c>
      <c r="G10" s="131"/>
      <c r="H10" s="131">
        <f>-'[5]TB03-31-04(Final)'!G317</f>
        <v>5676242</v>
      </c>
      <c r="I10" s="131"/>
      <c r="J10" s="131">
        <f>+'[10]Highlights (pg 1)'!$F$10</f>
        <v>16190670</v>
      </c>
    </row>
    <row r="11" spans="1:10" ht="19.5" customHeight="1">
      <c r="A11" s="95"/>
      <c r="B11" s="112"/>
      <c r="C11" s="112"/>
      <c r="D11" s="112"/>
      <c r="E11" s="112"/>
      <c r="F11" s="360"/>
      <c r="G11" s="112"/>
      <c r="H11" s="112"/>
      <c r="I11" s="14"/>
      <c r="J11" s="112"/>
    </row>
    <row r="12" spans="1:10" ht="19.5" customHeight="1">
      <c r="A12" s="95" t="s">
        <v>131</v>
      </c>
      <c r="B12" s="112">
        <f>-'[5]TB03-31-04(Final)'!E338</f>
        <v>5376116</v>
      </c>
      <c r="C12" s="112"/>
      <c r="D12" s="112">
        <f>+'[10]Highlights (pg 1)'!$B$12</f>
        <v>4133399</v>
      </c>
      <c r="E12" s="112"/>
      <c r="F12" s="361">
        <f>(+B12-D12)/D12</f>
        <v>0.30065256221332615</v>
      </c>
      <c r="G12" s="112"/>
      <c r="H12" s="112">
        <f>-'[5]TB03-31-04(Final)'!G338</f>
        <v>5376116</v>
      </c>
      <c r="I12" s="112"/>
      <c r="J12" s="112">
        <f>+'[10]Highlights (pg 1)'!$F$12</f>
        <v>16708714</v>
      </c>
    </row>
    <row r="13" spans="1:10" ht="19.5" customHeight="1">
      <c r="A13" s="95"/>
      <c r="B13" s="112"/>
      <c r="C13" s="112"/>
      <c r="D13" s="112"/>
      <c r="E13" s="112"/>
      <c r="F13" s="360"/>
      <c r="G13" s="112"/>
      <c r="H13" s="112"/>
      <c r="I13" s="14"/>
      <c r="J13" s="112"/>
    </row>
    <row r="14" spans="1:10" ht="19.5" customHeight="1">
      <c r="A14" s="95" t="s">
        <v>132</v>
      </c>
      <c r="B14" s="112">
        <f>+'[5]TB03-31-04(Final)'!E462</f>
        <v>4105799.4900000007</v>
      </c>
      <c r="C14" s="112"/>
      <c r="D14" s="112">
        <f>+'[10]Highlights (pg 1)'!$B$14</f>
        <v>2779701.7999999993</v>
      </c>
      <c r="E14" s="112"/>
      <c r="F14" s="361">
        <f>(+B14-D14)/D14</f>
        <v>0.477064730468571</v>
      </c>
      <c r="G14" s="112"/>
      <c r="H14" s="112">
        <f>+'[5]TB03-31-04(Final)'!G462</f>
        <v>4105799.4900000007</v>
      </c>
      <c r="I14" s="112"/>
      <c r="J14" s="112">
        <f>+'[10]Highlights (pg 1)'!$F$14</f>
        <v>14011900.985</v>
      </c>
    </row>
    <row r="15" spans="1:10" ht="19.5" customHeight="1">
      <c r="A15" s="95"/>
      <c r="B15" s="112"/>
      <c r="C15" s="112"/>
      <c r="D15" s="112"/>
      <c r="E15" s="112"/>
      <c r="F15" s="360"/>
      <c r="G15" s="112"/>
      <c r="H15" s="112"/>
      <c r="I15" s="14"/>
      <c r="J15" s="112"/>
    </row>
    <row r="16" spans="1:10" ht="19.5" customHeight="1">
      <c r="A16" s="95" t="s">
        <v>133</v>
      </c>
      <c r="B16" s="112">
        <f>+'[5]TB03-31-04(Final)'!E578</f>
        <v>474152.5300000001</v>
      </c>
      <c r="C16" s="112"/>
      <c r="D16" s="112">
        <f>+'[10]Highlights (pg 1)'!$B$16</f>
        <v>359851.97759499995</v>
      </c>
      <c r="E16" s="112"/>
      <c r="F16" s="361">
        <f>(+B16-D16)/D16</f>
        <v>0.3176321363270127</v>
      </c>
      <c r="G16" s="112"/>
      <c r="H16" s="112">
        <f>+'[5]TB03-31-04(Final)'!G578</f>
        <v>474152.5300000001</v>
      </c>
      <c r="I16" s="112"/>
      <c r="J16" s="112">
        <f>+'[10]Highlights (pg 1)'!$F$16</f>
        <v>1458256.25543</v>
      </c>
    </row>
    <row r="17" spans="1:10" ht="19.5" customHeight="1">
      <c r="A17" s="95"/>
      <c r="B17" s="112"/>
      <c r="C17" s="112"/>
      <c r="D17" s="112"/>
      <c r="E17" s="112"/>
      <c r="F17" s="360"/>
      <c r="G17" s="112"/>
      <c r="H17" s="112"/>
      <c r="I17" s="14"/>
      <c r="J17" s="112"/>
    </row>
    <row r="18" spans="1:10" ht="19.5" customHeight="1">
      <c r="A18" s="95" t="s">
        <v>134</v>
      </c>
      <c r="B18" s="112">
        <f>+'[5]TB03-31-04(Final)'!E648+'[5]TB03-31-04(Final)'!E1005</f>
        <v>1100075.5799999996</v>
      </c>
      <c r="C18" s="112"/>
      <c r="D18" s="112">
        <f>+'[10]Highlights (pg 1)'!$B$18</f>
        <v>1236377.2000000002</v>
      </c>
      <c r="E18" s="112"/>
      <c r="F18" s="361">
        <f>(+B18-D18)/D18</f>
        <v>-0.11024274792514821</v>
      </c>
      <c r="G18" s="112"/>
      <c r="H18" s="112">
        <f>+'[5]TB03-31-04(Final)'!G648+'[5]TB03-31-04(Final)'!G1005</f>
        <v>1628632.9299999997</v>
      </c>
      <c r="I18" s="112"/>
      <c r="J18" s="112">
        <f>+'[10]Highlights (pg 1)'!$F$18</f>
        <v>5361056.619999999</v>
      </c>
    </row>
    <row r="19" spans="1:10" ht="19.5" customHeight="1">
      <c r="A19" s="95"/>
      <c r="B19" s="112"/>
      <c r="C19" s="112"/>
      <c r="D19" s="112"/>
      <c r="E19" s="112"/>
      <c r="F19" s="360"/>
      <c r="G19" s="112"/>
      <c r="H19" s="112"/>
      <c r="I19" s="14"/>
      <c r="J19" s="112"/>
    </row>
    <row r="20" spans="1:10" ht="19.5" customHeight="1">
      <c r="A20" s="95" t="s">
        <v>302</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135</v>
      </c>
      <c r="B22" s="112">
        <f>-'[5]TB03-31-04(Final)'!E357</f>
        <v>29500.729999999996</v>
      </c>
      <c r="C22" s="112"/>
      <c r="D22" s="131">
        <f>+'[10]Highlights (pg 1)'!$B$22</f>
        <v>51020.619999999995</v>
      </c>
      <c r="E22" s="112"/>
      <c r="F22" s="361">
        <f>(+B22-D22)/D22</f>
        <v>-0.421788092735839</v>
      </c>
      <c r="G22" s="112"/>
      <c r="H22" s="112">
        <f>-'[5]TB03-31-04(Final)'!G357</f>
        <v>29500.729999999996</v>
      </c>
      <c r="I22" s="112"/>
      <c r="J22" s="112">
        <f>+'[10]Highlights (pg 1)'!$F$22</f>
        <v>406576.29999999993</v>
      </c>
    </row>
    <row r="23" spans="1:10" ht="19.5" customHeight="1">
      <c r="A23" s="95"/>
      <c r="B23" s="112"/>
      <c r="C23" s="112"/>
      <c r="D23" s="112"/>
      <c r="E23" s="112"/>
      <c r="F23" s="360"/>
      <c r="G23" s="112"/>
      <c r="H23" s="112"/>
      <c r="I23" s="14"/>
      <c r="J23" s="112"/>
    </row>
    <row r="24" spans="1:10" ht="19.5" customHeight="1">
      <c r="A24" s="95" t="s">
        <v>191</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136</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137</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138</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66" t="s">
        <v>297</v>
      </c>
      <c r="B1" s="966"/>
      <c r="C1" s="966"/>
      <c r="D1" s="966"/>
      <c r="E1" s="966"/>
      <c r="F1" s="966"/>
      <c r="G1" s="966"/>
      <c r="H1" s="966"/>
      <c r="I1" s="966"/>
      <c r="J1" s="966"/>
      <c r="K1" s="966"/>
      <c r="L1" s="966"/>
      <c r="M1" s="966"/>
      <c r="N1" s="966"/>
      <c r="O1" s="966"/>
      <c r="P1" s="966"/>
      <c r="Q1" s="966"/>
      <c r="R1" s="966"/>
      <c r="S1" s="966"/>
      <c r="T1" s="966"/>
    </row>
    <row r="2" ht="7.5" customHeight="1"/>
    <row r="3" spans="1:20" ht="19.5">
      <c r="A3" s="966" t="s">
        <v>164</v>
      </c>
      <c r="B3" s="966"/>
      <c r="C3" s="966"/>
      <c r="D3" s="966"/>
      <c r="E3" s="966"/>
      <c r="F3" s="966"/>
      <c r="G3" s="966"/>
      <c r="H3" s="966"/>
      <c r="I3" s="966"/>
      <c r="J3" s="966"/>
      <c r="K3" s="966"/>
      <c r="L3" s="966"/>
      <c r="M3" s="966"/>
      <c r="N3" s="966"/>
      <c r="O3" s="966"/>
      <c r="P3" s="966"/>
      <c r="Q3" s="966"/>
      <c r="R3" s="966"/>
      <c r="S3" s="966"/>
      <c r="T3" s="966"/>
    </row>
    <row r="4" spans="2:9" ht="8.25" customHeight="1">
      <c r="B4" s="642"/>
      <c r="C4" s="648"/>
      <c r="D4" s="642"/>
      <c r="E4" s="642"/>
      <c r="F4" s="648"/>
      <c r="G4" s="642"/>
      <c r="H4" s="642"/>
      <c r="I4" s="642"/>
    </row>
    <row r="5" spans="1:20" ht="19.5">
      <c r="A5" s="966" t="s">
        <v>55</v>
      </c>
      <c r="B5" s="966"/>
      <c r="C5" s="966"/>
      <c r="D5" s="966"/>
      <c r="E5" s="966"/>
      <c r="F5" s="966"/>
      <c r="G5" s="966"/>
      <c r="H5" s="966"/>
      <c r="I5" s="966"/>
      <c r="J5" s="966"/>
      <c r="K5" s="966"/>
      <c r="L5" s="966"/>
      <c r="M5" s="966"/>
      <c r="N5" s="966"/>
      <c r="O5" s="966"/>
      <c r="P5" s="966"/>
      <c r="Q5" s="966"/>
      <c r="R5" s="966"/>
      <c r="S5" s="966"/>
      <c r="T5" s="966"/>
    </row>
    <row r="6" spans="7:9" ht="12.75">
      <c r="G6" s="968" t="s">
        <v>278</v>
      </c>
      <c r="H6" s="968"/>
      <c r="I6" s="968"/>
    </row>
    <row r="7" spans="4:17" ht="12.75">
      <c r="D7" s="967" t="s">
        <v>181</v>
      </c>
      <c r="E7" s="967"/>
      <c r="F7" s="967"/>
      <c r="J7" s="967" t="s">
        <v>160</v>
      </c>
      <c r="K7" s="967"/>
      <c r="L7" s="967"/>
      <c r="M7" s="967"/>
      <c r="N7" s="967"/>
      <c r="O7" s="967"/>
      <c r="P7" s="967"/>
      <c r="Q7" s="967"/>
    </row>
    <row r="8" spans="4:18" ht="12.75">
      <c r="D8" s="661" t="s">
        <v>209</v>
      </c>
      <c r="E8" s="665" t="s">
        <v>210</v>
      </c>
      <c r="F8" s="967" t="s">
        <v>161</v>
      </c>
      <c r="G8" s="967"/>
      <c r="H8" s="967"/>
      <c r="I8" s="967"/>
      <c r="J8" s="967"/>
      <c r="K8" s="967"/>
      <c r="L8" s="967"/>
      <c r="P8" s="665"/>
      <c r="Q8" s="665"/>
      <c r="R8" s="665" t="s">
        <v>380</v>
      </c>
    </row>
    <row r="9" spans="2:20" ht="13.5" thickBot="1">
      <c r="B9" s="666" t="s">
        <v>57</v>
      </c>
      <c r="C9" s="656"/>
      <c r="D9" s="664" t="s">
        <v>208</v>
      </c>
      <c r="E9" s="666" t="s">
        <v>208</v>
      </c>
      <c r="F9" s="965" t="s">
        <v>52</v>
      </c>
      <c r="G9" s="965" t="s">
        <v>208</v>
      </c>
      <c r="H9" s="965" t="s">
        <v>208</v>
      </c>
      <c r="I9" s="965"/>
      <c r="J9" s="965" t="s">
        <v>208</v>
      </c>
      <c r="K9" s="965" t="s">
        <v>208</v>
      </c>
      <c r="L9" s="666" t="s">
        <v>53</v>
      </c>
      <c r="P9" s="666"/>
      <c r="Q9" s="653"/>
      <c r="R9" s="666" t="s">
        <v>114</v>
      </c>
      <c r="S9" s="692" t="s">
        <v>66</v>
      </c>
      <c r="T9" s="666" t="s">
        <v>67</v>
      </c>
    </row>
    <row r="10" spans="2:19" ht="12.75">
      <c r="B10" s="661"/>
      <c r="I10" s="358"/>
      <c r="S10" s="699"/>
    </row>
    <row r="11" spans="1:19" ht="12.75">
      <c r="A11" t="s">
        <v>364</v>
      </c>
      <c r="B11" s="661" t="s">
        <v>211</v>
      </c>
      <c r="C11" s="658"/>
      <c r="D11" s="659">
        <f>+'[5]TB03-31-04(Final)'!Z578+'[5]TB03-31-04(Final)'!E1004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162</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365</v>
      </c>
      <c r="B15" s="661" t="s">
        <v>140</v>
      </c>
      <c r="C15" s="658"/>
      <c r="D15" s="659">
        <v>0</v>
      </c>
      <c r="E15" s="659">
        <f>+'[5]TB03-31-04(Final)'!E630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263</v>
      </c>
    </row>
    <row r="16" spans="2:19" ht="12.75">
      <c r="B16" s="661"/>
      <c r="C16" s="658"/>
      <c r="D16" s="659"/>
      <c r="E16" s="659"/>
      <c r="F16" s="672"/>
      <c r="G16" s="673"/>
      <c r="H16" s="673"/>
      <c r="I16" s="674"/>
      <c r="L16" s="672"/>
      <c r="Q16" s="655">
        <f t="shared" si="1"/>
        <v>0</v>
      </c>
      <c r="R16" s="661"/>
      <c r="S16" s="696"/>
    </row>
    <row r="17" spans="1:19" ht="12.75">
      <c r="A17" t="s">
        <v>366</v>
      </c>
      <c r="B17" s="661" t="s">
        <v>212</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367</v>
      </c>
      <c r="B19" s="661" t="s">
        <v>213</v>
      </c>
      <c r="C19" s="658"/>
      <c r="D19" s="659"/>
      <c r="E19" s="659">
        <f>+'[5]TB03-31-04(Final)'!E639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368</v>
      </c>
      <c r="B21" s="661" t="s">
        <v>166</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165</v>
      </c>
    </row>
    <row r="22" spans="2:19" ht="12.75">
      <c r="B22" s="661" t="s">
        <v>167</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+'[5]TB03-31-04(Final)'!D633</f>
        <v>104.64</v>
      </c>
      <c r="E23" s="659">
        <f>+'[5]TB03-31-04(Final)'!E647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369</v>
      </c>
      <c r="B25" s="661" t="s">
        <v>73</v>
      </c>
      <c r="C25" s="658">
        <v>542.61</v>
      </c>
      <c r="D25" s="659">
        <f>+'[5]TB03-31-04(Final)'!Z765</f>
        <v>642.87</v>
      </c>
      <c r="E25" s="659">
        <f>+'[5]TB03-31-04(Final)'!Z768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175</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370</v>
      </c>
      <c r="B27" s="661" t="s">
        <v>214</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215</v>
      </c>
      <c r="C28" s="658">
        <v>52540.85</v>
      </c>
      <c r="D28" s="659">
        <f>+'[5]TB03-31-04(Final)'!D654</f>
        <v>64199.27</v>
      </c>
      <c r="E28" s="659">
        <f>+'[5]TB03-31-04(Final)'!E657-D28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216</v>
      </c>
      <c r="C29" s="658">
        <f>3911.93+556.52+147.7-0.79</f>
        <v>4615.36</v>
      </c>
      <c r="D29" s="659">
        <f>+'[5]TB03-31-04(Final)'!Z760</f>
        <v>6232.78</v>
      </c>
      <c r="E29" s="659">
        <f>+'[5]TB03-31-04(Final)'!Z761-D29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371</v>
      </c>
      <c r="B31" s="661" t="s">
        <v>471</v>
      </c>
      <c r="C31" s="658">
        <f>248.53+79.86+13823.98+583+3163.07+9266.34</f>
        <v>27164.78</v>
      </c>
      <c r="D31" s="659">
        <f>+'[5]TB03-31-04(Final)'!Z720</f>
        <v>34486.11</v>
      </c>
      <c r="E31" s="659">
        <f>+'[5]TB03-31-04(Final)'!Z721-'[5]TB03-31-04(Final)'!Z720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113</v>
      </c>
      <c r="C32" s="658"/>
      <c r="D32" s="659"/>
      <c r="E32" s="659"/>
      <c r="F32" s="672"/>
      <c r="G32" s="673"/>
      <c r="H32" s="673"/>
      <c r="I32" s="674"/>
      <c r="J32" s="683"/>
      <c r="L32" s="672">
        <f t="shared" si="2"/>
        <v>0</v>
      </c>
      <c r="Q32" s="655">
        <f t="shared" si="1"/>
        <v>0</v>
      </c>
      <c r="R32" s="661">
        <f t="shared" si="3"/>
        <v>0</v>
      </c>
      <c r="S32" s="696"/>
      <c r="T32" s="358">
        <v>22601.24</v>
      </c>
    </row>
    <row r="33" spans="2:20" ht="12.75">
      <c r="B33" s="659" t="s">
        <v>112</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172</v>
      </c>
    </row>
    <row r="35" spans="1:20" ht="12.75">
      <c r="A35" t="s">
        <v>372</v>
      </c>
      <c r="B35" s="661" t="s">
        <v>190</v>
      </c>
      <c r="C35" s="658"/>
      <c r="D35" s="659">
        <f>+'[5]TB03-31-04(Final)'!Z963</f>
        <v>0</v>
      </c>
      <c r="E35" s="659">
        <f>+'[5]TB03-31-04(Final)'!E966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176</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373</v>
      </c>
      <c r="B37" s="661" t="s">
        <v>218</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374</v>
      </c>
      <c r="B39" s="661" t="s">
        <v>219</v>
      </c>
      <c r="C39" s="658">
        <v>1427.25</v>
      </c>
      <c r="D39" s="659">
        <f>+'[5]TB03-31-04(Final)'!Z955</f>
        <v>458.98</v>
      </c>
      <c r="E39" s="659">
        <f>+'[5]TB03-31-04(Final)'!Z958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375</v>
      </c>
      <c r="B41" s="661" t="s">
        <v>220</v>
      </c>
      <c r="C41" s="658">
        <f>8755.56+916.17+869.2</f>
        <v>10540.93</v>
      </c>
      <c r="D41" s="659">
        <f>+'[5]TB03-31-04(Final)'!Z885+'[5]TB03-31-04(Final)'!Z893+'[5]TB03-31-04(Final)'!Z916</f>
        <v>10203.87</v>
      </c>
      <c r="E41" s="659">
        <f>+'[5]TB03-31-04(Final)'!Z896+'[5]TB03-31-04(Final)'!Z918-D41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376</v>
      </c>
      <c r="B43" s="661" t="s">
        <v>229</v>
      </c>
      <c r="C43" s="658">
        <v>1404</v>
      </c>
      <c r="D43" s="659">
        <f>+'[5]TB03-31-04(Final)'!Z879</f>
        <v>1666.56</v>
      </c>
      <c r="E43" s="659">
        <f>+'[5]TB03-31-04(Final)'!Z880-D43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377</v>
      </c>
      <c r="B45" s="661" t="s">
        <v>72</v>
      </c>
      <c r="C45" s="658">
        <f>1424.49+806+206</f>
        <v>2436.49</v>
      </c>
      <c r="D45" s="659">
        <f>SUM(B46:B48)</f>
        <v>2435.74</v>
      </c>
      <c r="E45" s="659">
        <f>+'[5]TB03-31-04(Final)'!Z863-D45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378</v>
      </c>
      <c r="B50" s="661" t="s">
        <v>231</v>
      </c>
      <c r="C50" s="658">
        <f>801.69+675.35</f>
        <v>1477.04</v>
      </c>
      <c r="D50" s="659">
        <f>+'[5]TB03-31-04(Final)'!Z941</f>
        <v>2273.06</v>
      </c>
      <c r="E50" s="659">
        <f>+'[5]TB03-31-04(Final)'!Z942-D50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379</v>
      </c>
      <c r="B52" s="661" t="s">
        <v>221</v>
      </c>
      <c r="C52" s="658">
        <f>4337.84+1156.22</f>
        <v>5494.06</v>
      </c>
      <c r="D52" s="659">
        <f>+'[5]TB03-31-04(Final)'!Z911</f>
        <v>4994.889999999999</v>
      </c>
      <c r="E52" s="659">
        <f>+'[5]TB03-31-04(Final)'!Z912-D52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152</v>
      </c>
      <c r="B54" s="661" t="s">
        <v>74</v>
      </c>
      <c r="C54" s="658">
        <v>767.76</v>
      </c>
      <c r="D54" s="659">
        <f>+'[5]TB03-31-04(Final)'!Z781</f>
        <v>399.46</v>
      </c>
      <c r="E54" s="659">
        <f>+'[5]TB03-31-04(Final)'!Z784-D54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177</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171</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153</v>
      </c>
      <c r="B58" s="732" t="s">
        <v>163</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154</v>
      </c>
      <c r="B59" s="661" t="s">
        <v>222</v>
      </c>
      <c r="C59" s="659"/>
      <c r="D59" s="672"/>
      <c r="E59" s="672">
        <f>+'[5]TB03-31-04(Final)'!E644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174</v>
      </c>
    </row>
    <row r="60" spans="2:19" ht="12.75">
      <c r="B60" s="644"/>
      <c r="C60" s="659"/>
      <c r="D60" s="673"/>
      <c r="E60" s="673"/>
      <c r="F60" s="675"/>
      <c r="G60" s="673"/>
      <c r="H60" s="673"/>
      <c r="I60" s="674"/>
      <c r="J60" s="681" t="s">
        <v>139</v>
      </c>
      <c r="L60" s="703"/>
      <c r="R60" s="652">
        <f t="shared" si="3"/>
        <v>0</v>
      </c>
      <c r="S60" s="699"/>
    </row>
    <row r="61" spans="1:19" ht="12.75">
      <c r="A61" t="s">
        <v>155</v>
      </c>
      <c r="B61" s="59" t="s">
        <v>223</v>
      </c>
      <c r="C61" s="662"/>
      <c r="D61" s="673"/>
      <c r="E61" s="673"/>
      <c r="F61" s="703"/>
      <c r="G61" s="704"/>
      <c r="H61" s="704"/>
      <c r="I61" s="705"/>
      <c r="L61" s="703"/>
      <c r="R61" s="652">
        <f t="shared" si="3"/>
        <v>0</v>
      </c>
      <c r="S61" s="699"/>
    </row>
    <row r="62" spans="2:19" ht="12.75">
      <c r="B62" s="659" t="s">
        <v>224</v>
      </c>
      <c r="C62" s="659"/>
      <c r="D62" s="674">
        <f>+'[5]TB03-31-04(Final)'!Z790</f>
        <v>289.58</v>
      </c>
      <c r="E62" s="675">
        <v>0</v>
      </c>
      <c r="F62" s="703">
        <f>SUM(D62:E62)</f>
        <v>289.58</v>
      </c>
      <c r="G62" s="704"/>
      <c r="H62" s="704"/>
      <c r="I62" s="705"/>
      <c r="L62" s="703"/>
      <c r="R62" s="652">
        <f t="shared" si="3"/>
        <v>289.58</v>
      </c>
      <c r="S62" s="699"/>
    </row>
    <row r="63" spans="2:19" ht="12.75">
      <c r="B63" s="659" t="s">
        <v>225</v>
      </c>
      <c r="C63" s="659"/>
      <c r="D63" s="674" t="e">
        <f>+'[5]TB03-31-04(Final)'!D991</f>
        <v>#REF!</v>
      </c>
      <c r="E63" s="674">
        <f>+'[5]TB03-31-04(Final)'!E994</f>
        <v>0</v>
      </c>
      <c r="F63" s="703" t="e">
        <f>SUM(D63:E63)</f>
        <v>#REF!</v>
      </c>
      <c r="G63" s="704"/>
      <c r="H63" s="704"/>
      <c r="I63" s="705"/>
      <c r="L63" s="703"/>
      <c r="R63" s="652" t="e">
        <f t="shared" si="3"/>
        <v>#REF!</v>
      </c>
      <c r="S63" s="699"/>
    </row>
    <row r="64" spans="2:20" ht="12.75">
      <c r="B64" s="659" t="s">
        <v>230</v>
      </c>
      <c r="C64" s="660">
        <f>209.55+403.86+1554.27</f>
        <v>2167.6800000000003</v>
      </c>
      <c r="D64" s="672">
        <f>+'[5]TB03-31-04(Final)'!Z830</f>
        <v>6929.51</v>
      </c>
      <c r="E64" s="672">
        <f>+'[5]TB03-31-04(Final)'!Z831-D64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173</v>
      </c>
    </row>
    <row r="65" spans="2:19" ht="12.75">
      <c r="B65" s="659" t="s">
        <v>275</v>
      </c>
      <c r="C65" s="663">
        <f>712.12-2.22-102</f>
        <v>607.9</v>
      </c>
      <c r="D65" s="676">
        <f>+'[5]TB03-31-04(Final)'!Z1001-102</f>
        <v>700.17</v>
      </c>
      <c r="E65" s="676">
        <f>+'[5]TB03-31-04(Final)'!Z1003+102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168</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170</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169</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156</v>
      </c>
      <c r="B70" s="59" t="s">
        <v>226</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76</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78</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157</v>
      </c>
      <c r="B73" s="661" t="s">
        <v>227</v>
      </c>
      <c r="D73" s="661">
        <v>0</v>
      </c>
      <c r="E73" s="661">
        <v>305438</v>
      </c>
      <c r="F73" s="661">
        <f>SUM(D73:E73)</f>
        <v>305438</v>
      </c>
      <c r="G73" s="646"/>
      <c r="H73" s="646"/>
      <c r="I73" s="646"/>
      <c r="K73" s="681">
        <v>287179</v>
      </c>
      <c r="L73" s="661">
        <f>SUM(J73:K73)</f>
        <v>287179</v>
      </c>
      <c r="R73" s="643"/>
    </row>
    <row r="74" spans="1:18" ht="12.75">
      <c r="A74" t="s">
        <v>158</v>
      </c>
      <c r="B74" s="661" t="s">
        <v>75</v>
      </c>
      <c r="C74" s="651"/>
      <c r="D74" s="668">
        <v>0</v>
      </c>
      <c r="E74" s="668">
        <v>309881</v>
      </c>
      <c r="F74" s="668">
        <f>SUM(D74:E74)</f>
        <v>309881</v>
      </c>
      <c r="G74" s="646"/>
      <c r="H74" s="646"/>
      <c r="I74" s="646"/>
      <c r="J74" s="684"/>
      <c r="K74" s="681">
        <v>453634</v>
      </c>
      <c r="L74" s="668">
        <f>SUM(J74:K74)</f>
        <v>453634</v>
      </c>
      <c r="R74" s="643"/>
    </row>
    <row r="75" spans="2:19" ht="12.75">
      <c r="B75" s="661" t="s">
        <v>77</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159</v>
      </c>
      <c r="B76" s="59" t="s">
        <v>228</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65536"/>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69" t="s">
        <v>297</v>
      </c>
      <c r="B1" s="969"/>
      <c r="C1" s="969"/>
      <c r="D1" s="969"/>
      <c r="E1" s="969"/>
      <c r="F1" s="969"/>
      <c r="G1" s="969"/>
      <c r="H1" s="241"/>
    </row>
    <row r="2" spans="1:8" s="27" customFormat="1" ht="18.75">
      <c r="A2" s="970"/>
      <c r="B2" s="970"/>
      <c r="C2" s="970"/>
      <c r="D2" s="970"/>
      <c r="E2" s="970"/>
      <c r="F2" s="970"/>
      <c r="G2" s="970"/>
      <c r="H2" s="1"/>
    </row>
    <row r="3" spans="1:8" s="29" customFormat="1" ht="18.75">
      <c r="A3" s="971" t="s">
        <v>330</v>
      </c>
      <c r="B3" s="971"/>
      <c r="C3" s="971"/>
      <c r="D3" s="971"/>
      <c r="E3" s="971"/>
      <c r="F3" s="971"/>
      <c r="G3" s="971"/>
      <c r="H3" s="28"/>
    </row>
    <row r="4" spans="1:8" s="29" customFormat="1" ht="18.75">
      <c r="A4" s="971" t="s">
        <v>58</v>
      </c>
      <c r="B4" s="971"/>
      <c r="C4" s="971"/>
      <c r="D4" s="971"/>
      <c r="E4" s="971"/>
      <c r="F4" s="971"/>
      <c r="G4" s="971"/>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89</v>
      </c>
      <c r="C7" s="392" t="s">
        <v>93</v>
      </c>
      <c r="D7" s="392" t="s">
        <v>189</v>
      </c>
      <c r="E7" s="392" t="s">
        <v>259</v>
      </c>
      <c r="F7" s="392" t="s">
        <v>144</v>
      </c>
      <c r="G7" s="392" t="s">
        <v>298</v>
      </c>
      <c r="H7" s="382"/>
      <c r="I7" s="32" t="s">
        <v>178</v>
      </c>
    </row>
    <row r="8" spans="1:8" s="34" customFormat="1" ht="12.75">
      <c r="A8" s="393" t="s">
        <v>332</v>
      </c>
      <c r="B8" s="394"/>
      <c r="C8" s="394"/>
      <c r="D8" s="394"/>
      <c r="E8" s="394"/>
      <c r="F8" s="394"/>
      <c r="G8" s="395"/>
      <c r="H8" s="33"/>
    </row>
    <row r="9" spans="1:9" ht="12.75">
      <c r="A9" s="396" t="s">
        <v>333</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334</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335</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336</v>
      </c>
      <c r="B13" s="501"/>
      <c r="C13" s="501"/>
      <c r="D13" s="501"/>
      <c r="E13" s="501"/>
      <c r="F13" s="501"/>
      <c r="G13" s="494"/>
      <c r="H13" s="37"/>
    </row>
    <row r="14" spans="1:10" ht="12.75">
      <c r="A14" s="354" t="s">
        <v>337</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338</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339</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340</v>
      </c>
      <c r="B17" s="494">
        <f>+'[5]TB03-31-04(Final)'!G635</f>
        <v>12016.59</v>
      </c>
      <c r="C17" s="494">
        <v>0</v>
      </c>
      <c r="D17" s="494">
        <v>0</v>
      </c>
      <c r="E17" s="494">
        <v>0</v>
      </c>
      <c r="F17" s="346">
        <v>0</v>
      </c>
      <c r="G17" s="498">
        <f t="shared" si="1"/>
        <v>12016.59</v>
      </c>
      <c r="H17" s="356">
        <f>+'(8)Earned Incurred YTD6'!C38</f>
        <v>108491.93</v>
      </c>
      <c r="I17" s="38">
        <v>62000</v>
      </c>
    </row>
    <row r="18" spans="1:10" ht="12.75">
      <c r="A18" s="398" t="s">
        <v>341</v>
      </c>
      <c r="B18" s="494">
        <f>+'[5]TB03-31-04(Final)'!G647</f>
        <v>92969.09</v>
      </c>
      <c r="C18" s="494">
        <v>0</v>
      </c>
      <c r="D18" s="494">
        <v>0</v>
      </c>
      <c r="E18" s="494">
        <v>0</v>
      </c>
      <c r="F18" s="494">
        <v>0</v>
      </c>
      <c r="G18" s="498">
        <f t="shared" si="1"/>
        <v>92969.09</v>
      </c>
      <c r="H18" s="36">
        <f>+G17+G18+G20</f>
        <v>108491.93</v>
      </c>
      <c r="I18" s="38">
        <v>65000</v>
      </c>
      <c r="J18" s="116">
        <f>+H17-H18</f>
        <v>0</v>
      </c>
    </row>
    <row r="19" spans="1:10" ht="12.75">
      <c r="A19" s="398" t="s">
        <v>342</v>
      </c>
      <c r="B19" s="346" t="e">
        <f>+'(8)Earned Incurred YTD6'!D37-C19-D19-E19</f>
        <v>#REF!</v>
      </c>
      <c r="C19" s="346">
        <f>+'[5]TB03-31-04(Final)'!F626+'[5]TB03-31-04(Final)'!F620+'[5]TB03-31-04(Final)'!F612+'[5]TB03-31-04(Final)'!F603+'[5]TB03-31-04(Final)'!F595+'[5]TB03-31-04(Final)'!F586</f>
        <v>-369.1</v>
      </c>
      <c r="D19" s="494">
        <f>+'[5]TB03-31-04(Final)'!G585</f>
        <v>0</v>
      </c>
      <c r="E19" s="494" t="e">
        <f>+'[5]TB03-31-04(Final)'!F584+'[5]TB03-31-04(Final)'!F593+'[5]TB03-31-04(Final)'!F601-'[5]TB03-31-04(Final)'!F610</f>
        <v>#REF!</v>
      </c>
      <c r="F19" s="590">
        <v>0</v>
      </c>
      <c r="G19" s="498" t="e">
        <f>SUM(B19:F19)</f>
        <v>#REF!</v>
      </c>
      <c r="H19" s="36">
        <f>+'[5]TB03-31-04(Final)'!G630</f>
        <v>528557.35</v>
      </c>
      <c r="I19" s="31" t="s">
        <v>179</v>
      </c>
      <c r="J19" s="116" t="e">
        <f>+G19-H19</f>
        <v>#REF!</v>
      </c>
    </row>
    <row r="20" spans="1:9" ht="12.75">
      <c r="A20" s="354" t="s">
        <v>343</v>
      </c>
      <c r="B20" s="494">
        <f>+'[5]TB03-31-04(Final)'!G639</f>
        <v>3506.25</v>
      </c>
      <c r="C20" s="494">
        <v>0</v>
      </c>
      <c r="D20" s="494">
        <v>0</v>
      </c>
      <c r="E20" s="494">
        <v>0</v>
      </c>
      <c r="F20" s="346">
        <v>0</v>
      </c>
      <c r="G20" s="498">
        <f t="shared" si="1"/>
        <v>3506.25</v>
      </c>
      <c r="H20" s="356">
        <f>+G20+G18+G17</f>
        <v>108491.93</v>
      </c>
      <c r="I20" s="38">
        <v>63000</v>
      </c>
    </row>
    <row r="21" spans="1:10" ht="12.75">
      <c r="A21" s="354" t="s">
        <v>344</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311</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335</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345</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346</v>
      </c>
      <c r="B27" s="501"/>
      <c r="C27" s="501"/>
      <c r="D27" s="501"/>
      <c r="E27" s="501"/>
      <c r="F27" s="501"/>
      <c r="G27" s="494"/>
      <c r="H27" s="37"/>
    </row>
    <row r="28" spans="1:8" ht="12.75">
      <c r="A28" s="354" t="s">
        <v>347</v>
      </c>
      <c r="B28" s="494">
        <v>0</v>
      </c>
      <c r="C28" s="494">
        <v>17084</v>
      </c>
      <c r="D28" s="494">
        <v>0</v>
      </c>
      <c r="E28" s="494">
        <v>0</v>
      </c>
      <c r="F28" s="494">
        <v>0</v>
      </c>
      <c r="G28" s="498">
        <f>SUM(B28:F28)</f>
        <v>17084</v>
      </c>
      <c r="H28" s="37"/>
    </row>
    <row r="29" spans="1:8" ht="12.75">
      <c r="A29" s="354" t="s">
        <v>348</v>
      </c>
      <c r="B29" s="494">
        <f>'Balance Sheet-1'!D14</f>
        <v>520202.98000000004</v>
      </c>
      <c r="C29" s="494">
        <v>0</v>
      </c>
      <c r="D29" s="494">
        <v>0</v>
      </c>
      <c r="E29" s="494">
        <v>0</v>
      </c>
      <c r="F29" s="494">
        <v>0</v>
      </c>
      <c r="G29" s="498">
        <f>SUM(B29:F29)</f>
        <v>520202.98000000004</v>
      </c>
      <c r="H29" s="37"/>
    </row>
    <row r="30" spans="1:8" ht="12.75" hidden="1">
      <c r="A30" s="354" t="s">
        <v>117</v>
      </c>
      <c r="B30" s="494">
        <v>0</v>
      </c>
      <c r="C30" s="494">
        <v>0</v>
      </c>
      <c r="D30" s="494">
        <v>0</v>
      </c>
      <c r="E30" s="494">
        <v>0</v>
      </c>
      <c r="F30" s="494">
        <v>0</v>
      </c>
      <c r="G30" s="498">
        <f>SUM(B30:F30)</f>
        <v>0</v>
      </c>
      <c r="H30" s="37" t="s">
        <v>80</v>
      </c>
    </row>
    <row r="31" spans="1:8" ht="12.75">
      <c r="A31" s="354" t="s">
        <v>335</v>
      </c>
      <c r="B31" s="496">
        <f aca="true" t="shared" si="4" ref="B31:G31">SUM(B28:B30)</f>
        <v>520202.98000000004</v>
      </c>
      <c r="C31" s="496">
        <f t="shared" si="4"/>
        <v>17084</v>
      </c>
      <c r="D31" s="496">
        <f t="shared" si="4"/>
        <v>0</v>
      </c>
      <c r="E31" s="496">
        <f t="shared" si="4"/>
        <v>0</v>
      </c>
      <c r="F31" s="496">
        <f t="shared" si="4"/>
        <v>0</v>
      </c>
      <c r="G31" s="497">
        <f t="shared" si="4"/>
        <v>537286.98</v>
      </c>
      <c r="H31" s="39"/>
    </row>
    <row r="32" spans="1:8" ht="12.75">
      <c r="A32" s="354"/>
      <c r="B32" s="494"/>
      <c r="C32" s="494"/>
      <c r="D32" s="494"/>
      <c r="E32" s="494"/>
      <c r="F32" s="494"/>
      <c r="G32" s="494"/>
      <c r="H32" s="37"/>
    </row>
    <row r="33" spans="1:8" ht="12.75">
      <c r="A33" s="393" t="s">
        <v>349</v>
      </c>
      <c r="B33" s="501"/>
      <c r="C33" s="501"/>
      <c r="D33" s="501"/>
      <c r="E33" s="501"/>
      <c r="F33" s="501"/>
      <c r="G33" s="494"/>
      <c r="H33" s="37"/>
    </row>
    <row r="34" spans="1:8" ht="12.75">
      <c r="A34" s="354" t="s">
        <v>350</v>
      </c>
      <c r="B34" s="494">
        <f>'(8)Earned Incurred YTD6'!B49</f>
        <v>10038.47</v>
      </c>
      <c r="C34" s="494">
        <f>'(8)Earned Incurred YTD6'!C49</f>
        <v>0</v>
      </c>
      <c r="D34" s="494">
        <v>0</v>
      </c>
      <c r="E34" s="494">
        <v>0</v>
      </c>
      <c r="F34" s="494">
        <v>0</v>
      </c>
      <c r="G34" s="498">
        <f>SUM(B34:F34)</f>
        <v>10038.47</v>
      </c>
      <c r="H34" s="37">
        <f>-G28+G34</f>
        <v>-7045.530000000001</v>
      </c>
    </row>
    <row r="35" spans="1:8" ht="12.75">
      <c r="A35" s="354" t="s">
        <v>351</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335</v>
      </c>
      <c r="B37" s="496">
        <f aca="true" t="shared" si="5" ref="B37:G37">SUM(B34:B36)</f>
        <v>10038.47</v>
      </c>
      <c r="C37" s="496">
        <f t="shared" si="5"/>
        <v>282394</v>
      </c>
      <c r="D37" s="496">
        <f t="shared" si="5"/>
        <v>0</v>
      </c>
      <c r="E37" s="496">
        <f t="shared" si="5"/>
        <v>0</v>
      </c>
      <c r="F37" s="496">
        <f t="shared" si="5"/>
        <v>0</v>
      </c>
      <c r="G37" s="497">
        <f t="shared" si="5"/>
        <v>292432.47</v>
      </c>
      <c r="H37" s="591">
        <f>+G31-G37</f>
        <v>244854.51</v>
      </c>
    </row>
    <row r="38" spans="1:8" ht="12.75">
      <c r="A38" s="354"/>
      <c r="B38" s="494"/>
      <c r="C38" s="494"/>
      <c r="D38" s="494"/>
      <c r="E38" s="494"/>
      <c r="F38" s="494"/>
      <c r="G38" s="503"/>
      <c r="H38" s="39"/>
    </row>
    <row r="39" spans="1:28" s="42" customFormat="1" ht="12.75">
      <c r="A39" s="400" t="s">
        <v>232</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233</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246</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335</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352</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147</v>
      </c>
      <c r="B46" s="494"/>
      <c r="C46" s="494"/>
      <c r="D46" s="494"/>
      <c r="E46" s="494"/>
      <c r="F46" s="494"/>
      <c r="G46" s="494"/>
      <c r="H46" s="37"/>
    </row>
    <row r="47" spans="1:8" ht="12.75">
      <c r="A47" s="354" t="s">
        <v>310</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353</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354</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355</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356</v>
      </c>
      <c r="B51" s="494">
        <f>'(8)Earned Incurred YTD6'!B32</f>
        <v>33141.47</v>
      </c>
      <c r="C51" s="494">
        <f>'(8)Earned Incurred YTD6'!C32</f>
        <v>0</v>
      </c>
      <c r="D51" s="494">
        <v>0</v>
      </c>
      <c r="E51" s="494">
        <v>0</v>
      </c>
      <c r="F51" s="346">
        <v>0</v>
      </c>
      <c r="G51" s="498">
        <f>SUM(B51:F51)</f>
        <v>33141.47</v>
      </c>
      <c r="H51" s="37">
        <f>+'(8)Earned Incurred YTD6'!B32</f>
        <v>33141.47</v>
      </c>
    </row>
    <row r="52" spans="1:9" ht="12.75">
      <c r="A52" s="403" t="s">
        <v>335</v>
      </c>
      <c r="B52" s="496">
        <f>SUM(B47:B51)-1</f>
        <v>13749123.10183647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148</v>
      </c>
      <c r="B54" s="507"/>
      <c r="C54" s="507"/>
      <c r="D54" s="507"/>
      <c r="E54" s="507"/>
      <c r="F54" s="494"/>
      <c r="G54" s="494"/>
      <c r="H54" s="37"/>
    </row>
    <row r="55" spans="1:8" ht="12.75">
      <c r="A55" s="354" t="s">
        <v>310</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353</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357</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355</v>
      </c>
      <c r="B58" s="494">
        <v>0</v>
      </c>
      <c r="C58" s="494">
        <f>+'(8)Earned Incurred YTD6'!B42</f>
        <v>356304</v>
      </c>
      <c r="D58" s="494">
        <v>0</v>
      </c>
      <c r="E58" s="494">
        <v>0</v>
      </c>
      <c r="F58" s="494">
        <v>0</v>
      </c>
      <c r="G58" s="498">
        <f>SUM(B58:F58)</f>
        <v>356304</v>
      </c>
      <c r="H58" s="37">
        <f>+'(8)Earned Incurred YTD6'!B42</f>
        <v>356304</v>
      </c>
    </row>
    <row r="59" spans="1:8" ht="12.75">
      <c r="A59" s="354" t="s">
        <v>356</v>
      </c>
      <c r="B59" s="494">
        <v>0</v>
      </c>
      <c r="C59" s="494">
        <f>+'(8)Earned Incurred YTD6'!B33</f>
        <v>46320</v>
      </c>
      <c r="D59" s="494">
        <v>0</v>
      </c>
      <c r="E59" s="494">
        <v>0</v>
      </c>
      <c r="F59" s="494">
        <v>0</v>
      </c>
      <c r="G59" s="498">
        <f>SUM(B59:F59)</f>
        <v>46320</v>
      </c>
      <c r="H59" s="37">
        <f>+'(8)Earned Incurred YTD6'!B33</f>
        <v>46320</v>
      </c>
    </row>
    <row r="60" spans="1:8" ht="12.75">
      <c r="A60" s="354" t="s">
        <v>335</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358</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1" sqref="A1:E1"/>
    </sheetView>
  </sheetViews>
  <sheetFormatPr defaultColWidth="15.710937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72" t="s">
        <v>297</v>
      </c>
      <c r="B1" s="972"/>
      <c r="C1" s="972"/>
      <c r="D1" s="972"/>
      <c r="E1" s="972"/>
    </row>
    <row r="2" spans="1:5" s="11" customFormat="1" ht="15" customHeight="1">
      <c r="A2" s="964"/>
      <c r="B2" s="964"/>
      <c r="C2" s="964"/>
      <c r="D2" s="964"/>
      <c r="E2" s="964"/>
    </row>
    <row r="3" spans="1:5" s="12" customFormat="1" ht="15" customHeight="1">
      <c r="A3" s="973" t="s">
        <v>252</v>
      </c>
      <c r="B3" s="973"/>
      <c r="C3" s="973"/>
      <c r="D3" s="973"/>
      <c r="E3" s="973"/>
    </row>
    <row r="4" spans="1:5" s="12" customFormat="1" ht="15" customHeight="1">
      <c r="A4" s="974" t="s">
        <v>477</v>
      </c>
      <c r="B4" s="974"/>
      <c r="C4" s="974"/>
      <c r="D4" s="974"/>
      <c r="E4" s="974"/>
    </row>
    <row r="5" spans="1:5" s="12" customFormat="1" ht="15" customHeight="1">
      <c r="A5" s="768"/>
      <c r="B5" s="768"/>
      <c r="C5" s="768"/>
      <c r="D5" s="768"/>
      <c r="E5" s="768"/>
    </row>
    <row r="6" spans="1:5" ht="45" customHeight="1">
      <c r="A6" s="805"/>
      <c r="B6" s="888" t="s">
        <v>253</v>
      </c>
      <c r="C6" s="888" t="s">
        <v>254</v>
      </c>
      <c r="D6" s="888" t="s">
        <v>255</v>
      </c>
      <c r="E6" s="888" t="s">
        <v>256</v>
      </c>
    </row>
    <row r="7" spans="1:5" ht="15" customHeight="1">
      <c r="A7" s="806" t="s">
        <v>299</v>
      </c>
      <c r="B7" s="473"/>
      <c r="C7" s="473"/>
      <c r="D7" s="473"/>
      <c r="E7" s="473"/>
    </row>
    <row r="8" spans="1:5" ht="15" customHeight="1">
      <c r="A8" s="810" t="s">
        <v>45</v>
      </c>
      <c r="B8" s="474">
        <f>'[7]Trial Balance'!F17+'[7]Trial Balance'!F21</f>
        <v>13885085.67</v>
      </c>
      <c r="C8" s="481">
        <v>0</v>
      </c>
      <c r="D8" s="481">
        <v>0</v>
      </c>
      <c r="E8" s="474">
        <f>SUM(B8:D8)</f>
        <v>13885085.67</v>
      </c>
    </row>
    <row r="9" spans="1:5" ht="15" customHeight="1">
      <c r="A9" s="810" t="s">
        <v>300</v>
      </c>
      <c r="B9" s="482">
        <v>0</v>
      </c>
      <c r="C9" s="482">
        <f>'[7]Trial Balance'!F24</f>
        <v>32055.81</v>
      </c>
      <c r="D9" s="482">
        <v>0</v>
      </c>
      <c r="E9" s="482">
        <f>SUM(B9:D9)</f>
        <v>32055.81</v>
      </c>
    </row>
    <row r="10" spans="1:5" ht="15" customHeight="1">
      <c r="A10" s="810" t="s">
        <v>301</v>
      </c>
      <c r="B10" s="482">
        <f>127785.72-63944.79</f>
        <v>63840.93</v>
      </c>
      <c r="C10" s="482">
        <v>0</v>
      </c>
      <c r="D10" s="482">
        <f>B10</f>
        <v>63840.93</v>
      </c>
      <c r="E10" s="482">
        <f>+B10-D10</f>
        <v>0</v>
      </c>
    </row>
    <row r="11" spans="1:7" ht="15" customHeight="1">
      <c r="A11" s="810" t="s">
        <v>46</v>
      </c>
      <c r="B11" s="482">
        <f>926296.38-601616.26+192708.02-95866.7+39350.62-14428.55+'[7]Trial Balance'!F36+'[7]Trial Balance'!F40+'[7]Trial Balance'!F56+1</f>
        <v>506626.11000000004</v>
      </c>
      <c r="C11" s="482">
        <v>0</v>
      </c>
      <c r="D11" s="482">
        <f>926296.38-601616.26+192708.02-95866.7+39350.62-14428.55</f>
        <v>446443.51</v>
      </c>
      <c r="E11" s="482">
        <f>B11-D11-1</f>
        <v>60181.600000000035</v>
      </c>
      <c r="F11" s="902"/>
      <c r="G11" s="813"/>
    </row>
    <row r="12" spans="1:5" ht="15" customHeight="1">
      <c r="A12" s="810" t="s">
        <v>304</v>
      </c>
      <c r="B12" s="482">
        <f>77363.16-71962.52</f>
        <v>5400.639999999999</v>
      </c>
      <c r="C12" s="482">
        <v>0</v>
      </c>
      <c r="D12" s="482">
        <f>B12</f>
        <v>5400.639999999999</v>
      </c>
      <c r="E12" s="482">
        <f>+B12-D12</f>
        <v>0</v>
      </c>
    </row>
    <row r="13" spans="1:6" ht="15" customHeight="1">
      <c r="A13" s="810" t="s">
        <v>42</v>
      </c>
      <c r="B13" s="482">
        <f>'[7]Trial Balance'!F28+4516.9</f>
        <v>29095.489999999998</v>
      </c>
      <c r="C13" s="482">
        <v>0</v>
      </c>
      <c r="D13" s="482">
        <v>4516.9</v>
      </c>
      <c r="E13" s="482">
        <f>+B13-C13-D13-1</f>
        <v>24577.589999999997</v>
      </c>
      <c r="F13" s="813"/>
    </row>
    <row r="14" spans="1:5" ht="15" customHeight="1">
      <c r="A14" s="807" t="s">
        <v>305</v>
      </c>
      <c r="B14" s="475">
        <f>SUM(B8:B13)</f>
        <v>14490048.84</v>
      </c>
      <c r="C14" s="475">
        <f>SUM(C8:C13)</f>
        <v>32055.81</v>
      </c>
      <c r="D14" s="475">
        <f>SUM(D8:D13)+1</f>
        <v>520202.98000000004</v>
      </c>
      <c r="E14" s="475">
        <f>SUM(E8:E13)+1</f>
        <v>14001901.67</v>
      </c>
    </row>
    <row r="15" spans="1:5" ht="15" customHeight="1">
      <c r="A15" s="808"/>
      <c r="B15" s="476"/>
      <c r="C15" s="476"/>
      <c r="D15" s="476"/>
      <c r="E15" s="476"/>
    </row>
    <row r="16" spans="1:5" ht="15" customHeight="1">
      <c r="A16" s="809" t="s">
        <v>306</v>
      </c>
      <c r="B16" s="476"/>
      <c r="C16" s="476"/>
      <c r="D16" s="476"/>
      <c r="E16" s="476"/>
    </row>
    <row r="17" spans="1:5" ht="15" customHeight="1">
      <c r="A17" s="810" t="s">
        <v>15</v>
      </c>
      <c r="B17" s="476"/>
      <c r="C17" s="477"/>
      <c r="D17" s="485">
        <f>-'[7]Trial Balance'!F187</f>
        <v>2313906</v>
      </c>
      <c r="E17" s="476"/>
    </row>
    <row r="18" spans="1:5" ht="15" customHeight="1">
      <c r="A18" s="810" t="s">
        <v>16</v>
      </c>
      <c r="B18" s="476"/>
      <c r="C18" s="477"/>
      <c r="D18" s="485">
        <f>-'[7]Trial Balance'!F190</f>
        <v>1748970</v>
      </c>
      <c r="E18" s="476"/>
    </row>
    <row r="19" spans="1:5" ht="15" customHeight="1">
      <c r="A19" s="810" t="s">
        <v>119</v>
      </c>
      <c r="B19" s="476"/>
      <c r="C19" s="477"/>
      <c r="D19" s="485">
        <f>-'[7]Trial Balance'!F184</f>
        <v>366561.15</v>
      </c>
      <c r="E19" s="476"/>
    </row>
    <row r="20" spans="1:5" ht="15" customHeight="1">
      <c r="A20" s="810" t="s">
        <v>64</v>
      </c>
      <c r="B20" s="476"/>
      <c r="C20" s="477"/>
      <c r="D20" s="485">
        <f>-'[7]Trial Balance'!F193</f>
        <v>324883.69</v>
      </c>
      <c r="E20" s="476"/>
    </row>
    <row r="21" spans="1:5" ht="15" customHeight="1">
      <c r="A21" s="810" t="s">
        <v>124</v>
      </c>
      <c r="B21" s="476"/>
      <c r="C21" s="538"/>
      <c r="D21" s="485">
        <f>-'[7]Trial Balance'!F199</f>
        <v>191939.59</v>
      </c>
      <c r="E21" s="485"/>
    </row>
    <row r="22" spans="1:5" ht="15" customHeight="1">
      <c r="A22" s="810" t="s">
        <v>26</v>
      </c>
      <c r="B22" s="476"/>
      <c r="C22" s="538"/>
      <c r="D22" s="485">
        <f>-'[7]Trial Balance'!F147</f>
        <v>20538.67</v>
      </c>
      <c r="E22" s="485"/>
    </row>
    <row r="23" spans="1:5" ht="15" customHeight="1">
      <c r="A23" s="810" t="s">
        <v>125</v>
      </c>
      <c r="B23" s="476"/>
      <c r="C23" s="477"/>
      <c r="D23" s="484">
        <f>-'[7]Trial Balance'!F144</f>
        <v>27056.29</v>
      </c>
      <c r="E23" s="477"/>
    </row>
    <row r="24" spans="1:5" ht="15" customHeight="1">
      <c r="A24" s="810"/>
      <c r="B24" s="357"/>
      <c r="C24" s="476"/>
      <c r="D24" s="476"/>
      <c r="E24" s="485"/>
    </row>
    <row r="25" spans="1:5" ht="15" customHeight="1">
      <c r="A25" s="807" t="s">
        <v>308</v>
      </c>
      <c r="B25" s="476"/>
      <c r="C25" s="476"/>
      <c r="D25" s="476"/>
      <c r="E25" s="486">
        <f>SUM(D17:D24)+1</f>
        <v>4993856.390000001</v>
      </c>
    </row>
    <row r="26" spans="1:5" ht="15" customHeight="1">
      <c r="A26" s="808"/>
      <c r="B26" s="476"/>
      <c r="C26" s="476"/>
      <c r="D26" s="476"/>
      <c r="E26" s="476"/>
    </row>
    <row r="27" spans="1:5" ht="15" customHeight="1">
      <c r="A27" s="809" t="s">
        <v>309</v>
      </c>
      <c r="B27" s="476"/>
      <c r="C27" s="476"/>
      <c r="D27" s="476"/>
      <c r="E27" s="476"/>
    </row>
    <row r="28" spans="1:5" ht="15" customHeight="1">
      <c r="A28" s="810" t="s">
        <v>310</v>
      </c>
      <c r="B28" s="476"/>
      <c r="C28" s="477"/>
      <c r="D28" s="485">
        <f>-'[7]Trial Balance'!F72</f>
        <v>6621494.709999999</v>
      </c>
      <c r="E28" s="476"/>
    </row>
    <row r="29" spans="1:7" ht="15" customHeight="1">
      <c r="A29" s="810" t="s">
        <v>116</v>
      </c>
      <c r="B29" s="476"/>
      <c r="C29" s="477"/>
      <c r="D29" s="485">
        <f>-'[7]Trial Balance'!F88+1</f>
        <v>1961899.9400000002</v>
      </c>
      <c r="E29" s="485"/>
      <c r="F29" s="24"/>
      <c r="G29" s="906"/>
    </row>
    <row r="30" spans="1:7" ht="15" customHeight="1">
      <c r="A30" s="810" t="s">
        <v>115</v>
      </c>
      <c r="B30" s="476"/>
      <c r="C30" s="477"/>
      <c r="D30" s="485">
        <f>-'[7]Trial Balance'!F99</f>
        <v>538361</v>
      </c>
      <c r="E30" s="485"/>
      <c r="F30" s="24"/>
      <c r="G30" s="906"/>
    </row>
    <row r="31" spans="1:7" ht="15" customHeight="1">
      <c r="A31" s="810" t="s">
        <v>120</v>
      </c>
      <c r="B31" s="476"/>
      <c r="C31" s="477"/>
      <c r="D31" s="485">
        <f>-'[7]Trial Balance'!F118</f>
        <v>264840</v>
      </c>
      <c r="E31" s="485"/>
      <c r="F31" s="24"/>
      <c r="G31" s="906"/>
    </row>
    <row r="32" spans="1:8" ht="15" customHeight="1">
      <c r="A32" s="810" t="s">
        <v>121</v>
      </c>
      <c r="B32" s="477"/>
      <c r="C32" s="477"/>
      <c r="D32" s="485">
        <f>-'[7]Trial Balance'!F134-2</f>
        <v>89205.54</v>
      </c>
      <c r="E32" s="485"/>
      <c r="F32" s="24"/>
      <c r="G32" s="24"/>
      <c r="H32" s="24"/>
    </row>
    <row r="33" spans="1:5" ht="15" customHeight="1">
      <c r="A33" s="810" t="s">
        <v>149</v>
      </c>
      <c r="B33" s="476"/>
      <c r="C33" s="477"/>
      <c r="D33" s="122">
        <f>-'[7]Trial Balance'!F156</f>
        <v>216461.9</v>
      </c>
      <c r="E33" s="476"/>
    </row>
    <row r="34" spans="1:5" ht="15" customHeight="1">
      <c r="A34" s="810" t="s">
        <v>143</v>
      </c>
      <c r="B34" s="476"/>
      <c r="C34" s="476"/>
      <c r="D34" s="484">
        <f>-'[7]Trial Balance'!F140</f>
        <v>33141.47</v>
      </c>
      <c r="E34" s="476"/>
    </row>
    <row r="35" spans="1:5" ht="15" customHeight="1">
      <c r="A35" s="810"/>
      <c r="B35" s="476"/>
      <c r="C35" s="476"/>
      <c r="D35" s="476"/>
      <c r="E35" s="476"/>
    </row>
    <row r="36" spans="1:5" ht="15" customHeight="1">
      <c r="A36" s="811" t="s">
        <v>427</v>
      </c>
      <c r="B36" s="476"/>
      <c r="C36" s="476"/>
      <c r="D36" s="477"/>
      <c r="E36" s="486">
        <f>SUM(D28:D34)</f>
        <v>9725404.559999999</v>
      </c>
    </row>
    <row r="37" spans="1:5" ht="15" customHeight="1">
      <c r="A37" s="811"/>
      <c r="B37" s="476"/>
      <c r="C37" s="476"/>
      <c r="D37" s="477"/>
      <c r="E37" s="479"/>
    </row>
    <row r="38" spans="1:5" ht="15" customHeight="1">
      <c r="A38" s="807" t="s">
        <v>312</v>
      </c>
      <c r="B38" s="476"/>
      <c r="C38" s="476"/>
      <c r="D38" s="477"/>
      <c r="E38" s="487">
        <f>E36+E25</f>
        <v>14719260.95</v>
      </c>
    </row>
    <row r="39" spans="1:5" ht="15" customHeight="1">
      <c r="A39" s="808"/>
      <c r="B39" s="476"/>
      <c r="C39" s="476"/>
      <c r="D39" s="477"/>
      <c r="E39" s="476"/>
    </row>
    <row r="40" spans="1:5" ht="15" customHeight="1">
      <c r="A40" s="809" t="s">
        <v>313</v>
      </c>
      <c r="B40" s="476"/>
      <c r="C40" s="476"/>
      <c r="D40" s="477"/>
      <c r="E40" s="476"/>
    </row>
    <row r="41" spans="1:7" ht="15" customHeight="1">
      <c r="A41" s="810" t="s">
        <v>478</v>
      </c>
      <c r="B41" s="476"/>
      <c r="C41" s="476"/>
      <c r="D41" s="477"/>
      <c r="E41" s="924">
        <f>+E14-E38</f>
        <v>-717359.2799999993</v>
      </c>
      <c r="F41" s="812"/>
      <c r="G41" s="813"/>
    </row>
    <row r="42" spans="1:5" ht="15" customHeight="1">
      <c r="A42" s="808"/>
      <c r="B42" s="477"/>
      <c r="C42" s="477"/>
      <c r="D42" s="477"/>
      <c r="E42" s="476"/>
    </row>
    <row r="43" spans="1:7" ht="15" customHeight="1" thickBot="1">
      <c r="A43" s="811" t="s">
        <v>314</v>
      </c>
      <c r="B43" s="476"/>
      <c r="C43" s="476"/>
      <c r="D43" s="476"/>
      <c r="E43" s="480">
        <f>E38+E41</f>
        <v>14001901.67</v>
      </c>
      <c r="F43" s="902"/>
      <c r="G43" s="374"/>
    </row>
    <row r="44" spans="1:6" ht="15" customHeight="1" thickTop="1">
      <c r="A44" s="15"/>
      <c r="B44" s="472"/>
      <c r="C44" s="472"/>
      <c r="D44" s="472"/>
      <c r="E44" s="947"/>
      <c r="F44" s="374"/>
    </row>
    <row r="53" spans="1:5" ht="15" customHeight="1">
      <c r="A53" s="803"/>
      <c r="E53" s="804"/>
    </row>
    <row r="57" spans="1:5" s="803" customFormat="1" ht="15" customHeight="1">
      <c r="A57" s="931"/>
      <c r="B57" s="932"/>
      <c r="C57" s="932"/>
      <c r="D57" s="932"/>
      <c r="E57" s="933"/>
    </row>
    <row r="58" spans="2:5" s="939" customFormat="1" ht="15" customHeight="1">
      <c r="B58" s="940"/>
      <c r="C58" s="940"/>
      <c r="E58" s="941"/>
    </row>
  </sheetData>
  <sheetProtection/>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82" t="s">
        <v>297</v>
      </c>
      <c r="B1" s="983"/>
      <c r="C1" s="983"/>
      <c r="D1" s="984"/>
      <c r="E1" s="976"/>
      <c r="F1" s="976"/>
      <c r="G1" s="976"/>
      <c r="H1" s="977"/>
      <c r="I1" s="45"/>
      <c r="J1" s="45"/>
      <c r="K1" s="45"/>
      <c r="L1" s="45"/>
      <c r="M1" s="975"/>
      <c r="N1" s="976"/>
      <c r="O1" s="976"/>
      <c r="P1" s="977"/>
      <c r="Q1" s="975"/>
      <c r="R1" s="976"/>
      <c r="S1" s="976"/>
      <c r="T1" s="977"/>
      <c r="U1" s="975"/>
      <c r="V1" s="976"/>
      <c r="W1" s="976"/>
      <c r="X1" s="977"/>
      <c r="Y1" s="975"/>
      <c r="Z1" s="976"/>
      <c r="AA1" s="976"/>
      <c r="AB1" s="977"/>
      <c r="AC1" s="975"/>
      <c r="AD1" s="976"/>
      <c r="AE1" s="976"/>
      <c r="AF1" s="977"/>
      <c r="AG1" s="975"/>
      <c r="AH1" s="976"/>
      <c r="AI1" s="976"/>
      <c r="AJ1" s="977"/>
      <c r="AK1" s="975"/>
      <c r="AL1" s="976"/>
      <c r="AM1" s="976"/>
      <c r="AN1" s="977"/>
      <c r="AO1" s="975"/>
      <c r="AP1" s="976"/>
      <c r="AQ1" s="976"/>
      <c r="AR1" s="977"/>
      <c r="AS1" s="975"/>
      <c r="AT1" s="976"/>
      <c r="AU1" s="976"/>
      <c r="AV1" s="977"/>
      <c r="AW1" s="975"/>
      <c r="AX1" s="976"/>
      <c r="AY1" s="976"/>
      <c r="AZ1" s="977"/>
      <c r="BA1" s="975"/>
      <c r="BB1" s="976"/>
      <c r="BC1" s="976"/>
      <c r="BD1" s="977"/>
      <c r="BE1" s="975"/>
      <c r="BF1" s="976"/>
      <c r="BG1" s="976"/>
      <c r="BH1" s="977"/>
      <c r="BI1" s="975"/>
      <c r="BJ1" s="976"/>
      <c r="BK1" s="976"/>
      <c r="BL1" s="977"/>
      <c r="BM1" s="975"/>
      <c r="BN1" s="976"/>
      <c r="BO1" s="976"/>
      <c r="BP1" s="977"/>
      <c r="BQ1" s="975"/>
      <c r="BR1" s="976"/>
      <c r="BS1" s="976"/>
      <c r="BT1" s="977"/>
      <c r="BU1" s="975"/>
      <c r="BV1" s="976"/>
      <c r="BW1" s="976"/>
      <c r="BX1" s="977"/>
      <c r="BY1" s="975"/>
      <c r="BZ1" s="976"/>
      <c r="CA1" s="976"/>
      <c r="CB1" s="977"/>
      <c r="CC1" s="975"/>
      <c r="CD1" s="976"/>
      <c r="CE1" s="976"/>
      <c r="CF1" s="977"/>
      <c r="CG1" s="975"/>
      <c r="CH1" s="976"/>
      <c r="CI1" s="976"/>
      <c r="CJ1" s="977"/>
      <c r="CK1" s="975"/>
      <c r="CL1" s="976"/>
      <c r="CM1" s="976"/>
      <c r="CN1" s="977"/>
      <c r="CO1" s="975"/>
      <c r="CP1" s="976"/>
      <c r="CQ1" s="976"/>
      <c r="CR1" s="977"/>
      <c r="CS1" s="975"/>
      <c r="CT1" s="976"/>
      <c r="CU1" s="976"/>
      <c r="CV1" s="977"/>
      <c r="CW1" s="975"/>
      <c r="CX1" s="976"/>
      <c r="CY1" s="976"/>
      <c r="CZ1" s="977"/>
      <c r="DA1" s="975"/>
      <c r="DB1" s="976"/>
      <c r="DC1" s="976"/>
      <c r="DD1" s="977"/>
      <c r="DE1" s="975"/>
      <c r="DF1" s="976"/>
      <c r="DG1" s="976"/>
      <c r="DH1" s="977"/>
      <c r="DI1" s="975"/>
      <c r="DJ1" s="976"/>
      <c r="DK1" s="976"/>
      <c r="DL1" s="977"/>
      <c r="DM1" s="975"/>
      <c r="DN1" s="976"/>
      <c r="DO1" s="976"/>
      <c r="DP1" s="977"/>
      <c r="DQ1" s="975"/>
      <c r="DR1" s="976"/>
      <c r="DS1" s="976"/>
      <c r="DT1" s="977"/>
      <c r="DU1" s="975"/>
      <c r="DV1" s="976"/>
      <c r="DW1" s="976"/>
      <c r="DX1" s="977"/>
      <c r="DY1" s="975"/>
      <c r="DZ1" s="976"/>
      <c r="EA1" s="976"/>
      <c r="EB1" s="977"/>
      <c r="EC1" s="975"/>
      <c r="ED1" s="976"/>
      <c r="EE1" s="976"/>
      <c r="EF1" s="977"/>
      <c r="EG1" s="975"/>
      <c r="EH1" s="976"/>
      <c r="EI1" s="976"/>
      <c r="EJ1" s="977"/>
      <c r="EK1" s="975"/>
      <c r="EL1" s="976"/>
      <c r="EM1" s="976"/>
      <c r="EN1" s="977"/>
      <c r="EO1" s="975"/>
      <c r="EP1" s="976"/>
      <c r="EQ1" s="976"/>
      <c r="ER1" s="977"/>
      <c r="ES1" s="975"/>
      <c r="ET1" s="976"/>
      <c r="EU1" s="976"/>
      <c r="EV1" s="977"/>
      <c r="EW1" s="975"/>
      <c r="EX1" s="976"/>
      <c r="EY1" s="976"/>
      <c r="EZ1" s="977"/>
      <c r="FA1" s="975"/>
      <c r="FB1" s="976"/>
      <c r="FC1" s="976"/>
      <c r="FD1" s="977"/>
      <c r="FE1" s="975"/>
      <c r="FF1" s="976"/>
      <c r="FG1" s="976"/>
      <c r="FH1" s="977"/>
      <c r="FI1" s="975"/>
      <c r="FJ1" s="976"/>
      <c r="FK1" s="976"/>
      <c r="FL1" s="977"/>
      <c r="FM1" s="975"/>
      <c r="FN1" s="976"/>
      <c r="FO1" s="976"/>
      <c r="FP1" s="977"/>
      <c r="FQ1" s="975"/>
      <c r="FR1" s="976"/>
      <c r="FS1" s="976"/>
      <c r="FT1" s="977"/>
      <c r="FU1" s="975"/>
      <c r="FV1" s="976"/>
      <c r="FW1" s="976"/>
      <c r="FX1" s="977"/>
      <c r="FY1" s="975"/>
      <c r="FZ1" s="976"/>
      <c r="GA1" s="976"/>
      <c r="GB1" s="977"/>
      <c r="GC1" s="975"/>
      <c r="GD1" s="976"/>
      <c r="GE1" s="976"/>
      <c r="GF1" s="977"/>
      <c r="GG1" s="975"/>
      <c r="GH1" s="976"/>
      <c r="GI1" s="976"/>
      <c r="GJ1" s="977"/>
      <c r="GK1" s="975"/>
      <c r="GL1" s="976"/>
      <c r="GM1" s="976"/>
      <c r="GN1" s="977"/>
      <c r="GO1" s="975"/>
      <c r="GP1" s="976"/>
      <c r="GQ1" s="976"/>
      <c r="GR1" s="977"/>
      <c r="GS1" s="975"/>
      <c r="GT1" s="976"/>
      <c r="GU1" s="976"/>
      <c r="GV1" s="977"/>
      <c r="GW1" s="975"/>
      <c r="GX1" s="976"/>
      <c r="GY1" s="976"/>
      <c r="GZ1" s="977"/>
      <c r="HA1" s="975"/>
      <c r="HB1" s="976"/>
      <c r="HC1" s="976"/>
      <c r="HD1" s="977"/>
      <c r="HE1" s="975"/>
      <c r="HF1" s="976"/>
      <c r="HG1" s="976"/>
      <c r="HH1" s="977"/>
      <c r="HI1" s="975"/>
      <c r="HJ1" s="976"/>
      <c r="HK1" s="976"/>
      <c r="HL1" s="977"/>
      <c r="HM1" s="975"/>
      <c r="HN1" s="976"/>
      <c r="HO1" s="976"/>
      <c r="HP1" s="977"/>
      <c r="HQ1" s="975"/>
      <c r="HR1" s="976"/>
      <c r="HS1" s="976"/>
      <c r="HT1" s="977"/>
      <c r="HU1" s="975"/>
      <c r="HV1" s="976"/>
      <c r="HW1" s="976"/>
      <c r="HX1" s="977"/>
      <c r="HY1" s="975"/>
      <c r="HZ1" s="976"/>
      <c r="IA1" s="976"/>
      <c r="IB1" s="977"/>
      <c r="IC1" s="975"/>
      <c r="ID1" s="976"/>
      <c r="IE1" s="976"/>
      <c r="IF1" s="977"/>
      <c r="IG1" s="975"/>
      <c r="IH1" s="976"/>
      <c r="II1" s="976"/>
      <c r="IJ1" s="977"/>
      <c r="IK1" s="975"/>
      <c r="IL1" s="976"/>
      <c r="IM1" s="976"/>
      <c r="IN1" s="977"/>
      <c r="IO1" s="975"/>
      <c r="IP1" s="976"/>
      <c r="IQ1" s="976"/>
      <c r="IR1" s="977"/>
      <c r="IS1" s="975"/>
      <c r="IT1" s="976"/>
      <c r="IU1" s="976"/>
      <c r="IV1" s="977"/>
    </row>
    <row r="2" spans="1:6" s="45" customFormat="1" ht="18" customHeight="1">
      <c r="A2" s="963"/>
      <c r="B2" s="964"/>
      <c r="C2" s="964"/>
      <c r="D2" s="985"/>
      <c r="F2" s="288"/>
    </row>
    <row r="3" spans="1:6" s="45" customFormat="1" ht="18.75">
      <c r="A3" s="979" t="s">
        <v>260</v>
      </c>
      <c r="B3" s="980"/>
      <c r="C3" s="980"/>
      <c r="D3" s="981"/>
      <c r="F3" s="288"/>
    </row>
    <row r="4" spans="1:6" s="45" customFormat="1" ht="18.75">
      <c r="A4" s="979" t="s">
        <v>359</v>
      </c>
      <c r="B4" s="980"/>
      <c r="C4" s="980"/>
      <c r="D4" s="981"/>
      <c r="F4" s="288"/>
    </row>
    <row r="5" spans="1:6" s="45" customFormat="1" ht="18.75">
      <c r="A5" s="979" t="str">
        <f>+'(9)Equity YTD4'!A4</f>
        <v>YTD PERIOD MARCH 31st, 2004</v>
      </c>
      <c r="B5" s="980"/>
      <c r="C5" s="980"/>
      <c r="D5" s="981"/>
      <c r="F5" s="288"/>
    </row>
    <row r="6" spans="1:6" s="18" customFormat="1" ht="15" customHeight="1">
      <c r="A6" s="415"/>
      <c r="B6" s="519"/>
      <c r="C6" s="519"/>
      <c r="D6" s="520"/>
      <c r="F6" s="22"/>
    </row>
    <row r="7" spans="1:6" s="18" customFormat="1" ht="15">
      <c r="A7" s="416" t="s">
        <v>360</v>
      </c>
      <c r="B7" s="521" t="str">
        <f>+'Earned Incurred QTD-5'!B8</f>
        <v>09-30-09</v>
      </c>
      <c r="C7" s="522"/>
      <c r="D7" s="523"/>
      <c r="F7" s="289" t="s">
        <v>404</v>
      </c>
    </row>
    <row r="8" spans="1:6" s="18" customFormat="1" ht="15">
      <c r="A8" s="416"/>
      <c r="B8" s="524" t="s">
        <v>65</v>
      </c>
      <c r="C8" s="525"/>
      <c r="D8" s="526"/>
      <c r="F8" s="290" t="s">
        <v>236</v>
      </c>
    </row>
    <row r="9" spans="1:6" s="18" customFormat="1" ht="15">
      <c r="A9" s="417"/>
      <c r="B9" s="527" t="s">
        <v>307</v>
      </c>
      <c r="C9" s="528"/>
      <c r="D9" s="529"/>
      <c r="F9" s="22"/>
    </row>
    <row r="10" spans="1:6" s="18" customFormat="1" ht="15">
      <c r="A10" s="418" t="s">
        <v>361</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362</v>
      </c>
      <c r="B12" s="509" t="e">
        <f>'(7)Premiums YTD8'!G18</f>
        <v>#REF!</v>
      </c>
      <c r="C12" s="122"/>
      <c r="D12" s="510"/>
      <c r="F12" s="22"/>
    </row>
    <row r="13" spans="1:6" s="18" customFormat="1" ht="14.25">
      <c r="A13" s="419" t="s">
        <v>381</v>
      </c>
      <c r="B13" s="511">
        <v>8897126</v>
      </c>
      <c r="C13" s="122"/>
      <c r="D13" s="510"/>
      <c r="F13" s="22"/>
    </row>
    <row r="14" spans="1:6" s="18" customFormat="1" ht="15" customHeight="1">
      <c r="A14" s="419" t="s">
        <v>382</v>
      </c>
      <c r="B14" s="509"/>
      <c r="C14" s="512" t="e">
        <f>B13-B12</f>
        <v>#REF!</v>
      </c>
      <c r="D14" s="510"/>
      <c r="F14" s="22">
        <v>41100</v>
      </c>
    </row>
    <row r="15" spans="1:6" s="18" customFormat="1" ht="15" customHeight="1">
      <c r="A15" s="418" t="s">
        <v>383</v>
      </c>
      <c r="B15" s="509"/>
      <c r="C15" s="122"/>
      <c r="D15" s="563" t="e">
        <f>C10+C14</f>
        <v>#REF!</v>
      </c>
      <c r="E15" s="127" t="e">
        <f>+'(7)Premiums YTD8'!G30</f>
        <v>#REF!</v>
      </c>
      <c r="F15" s="22"/>
    </row>
    <row r="16" spans="1:6" s="18" customFormat="1" ht="14.25">
      <c r="A16" s="419" t="s">
        <v>384</v>
      </c>
      <c r="B16" s="509"/>
      <c r="C16" s="122">
        <f>+'[5]TB03-31-04(Final)'!G384</f>
        <v>3791762.3499999996</v>
      </c>
      <c r="D16" s="510"/>
      <c r="F16" s="22" t="s">
        <v>405</v>
      </c>
    </row>
    <row r="17" spans="1:6" s="18" customFormat="1" ht="14.25">
      <c r="A17" s="419" t="s">
        <v>385</v>
      </c>
      <c r="B17" s="509"/>
      <c r="C17" s="512">
        <f>-'[5]TB03-31-04(Final)'!G405+1</f>
        <v>8001.969999999999</v>
      </c>
      <c r="D17" s="510"/>
      <c r="F17" s="22">
        <v>51108</v>
      </c>
    </row>
    <row r="18" spans="1:6" s="18" customFormat="1" ht="15">
      <c r="A18" s="418" t="s">
        <v>386</v>
      </c>
      <c r="B18" s="509"/>
      <c r="C18" s="122">
        <f>C16-C17</f>
        <v>3783760.3799999994</v>
      </c>
      <c r="D18" s="510"/>
      <c r="F18" s="22"/>
    </row>
    <row r="19" spans="1:6" s="18" customFormat="1" ht="14.25">
      <c r="A19" s="419" t="s">
        <v>387</v>
      </c>
      <c r="B19" s="509" t="e">
        <f>'(6)Losses Incurred YTD10'!H18</f>
        <v>#REF!</v>
      </c>
      <c r="C19" s="122" t="s">
        <v>307</v>
      </c>
      <c r="D19" s="510"/>
      <c r="F19" s="22"/>
    </row>
    <row r="20" spans="1:6" s="18" customFormat="1" ht="14.25">
      <c r="A20" s="419" t="s">
        <v>388</v>
      </c>
      <c r="B20" s="511">
        <v>5587477</v>
      </c>
      <c r="C20" s="122"/>
      <c r="D20" s="510"/>
      <c r="F20" s="22"/>
    </row>
    <row r="21" spans="1:6" s="18" customFormat="1" ht="14.25">
      <c r="A21" s="419" t="s">
        <v>389</v>
      </c>
      <c r="B21" s="514"/>
      <c r="C21" s="512" t="e">
        <f>B19-B20</f>
        <v>#REF!</v>
      </c>
      <c r="D21" s="510"/>
      <c r="F21" s="22" t="s">
        <v>406</v>
      </c>
    </row>
    <row r="22" spans="1:6" s="18" customFormat="1" ht="15">
      <c r="A22" s="418" t="s">
        <v>390</v>
      </c>
      <c r="B22" s="509"/>
      <c r="C22" s="122"/>
      <c r="D22" s="510" t="e">
        <f>C18+C21</f>
        <v>#REF!</v>
      </c>
      <c r="E22" s="48" t="e">
        <f>+'(6)Losses Incurred YTD10'!H30</f>
        <v>#REF!</v>
      </c>
      <c r="F22" s="22"/>
    </row>
    <row r="23" spans="1:6" s="18" customFormat="1" ht="14.25">
      <c r="A23" s="419" t="s">
        <v>391</v>
      </c>
      <c r="B23" s="509"/>
      <c r="C23" s="122">
        <f>+'[5]TB03-31-04(Final)'!G486</f>
        <v>292907.87</v>
      </c>
      <c r="D23" s="510"/>
      <c r="E23" s="109"/>
      <c r="F23" s="22">
        <v>51200</v>
      </c>
    </row>
    <row r="24" spans="1:6" s="18" customFormat="1" ht="14.25">
      <c r="A24" s="419" t="s">
        <v>392</v>
      </c>
      <c r="B24" s="509"/>
      <c r="C24" s="512">
        <f>+'[5]TB03-31-04(Final)'!G547</f>
        <v>139421.58999999997</v>
      </c>
      <c r="D24" s="510"/>
      <c r="F24" s="22">
        <v>51300</v>
      </c>
    </row>
    <row r="25" spans="1:6" s="18" customFormat="1" ht="15">
      <c r="A25" s="418" t="s">
        <v>393</v>
      </c>
      <c r="B25" s="509"/>
      <c r="C25" s="122">
        <f>C23+C24</f>
        <v>432329.45999999996</v>
      </c>
      <c r="D25" s="510"/>
      <c r="F25" s="22"/>
    </row>
    <row r="26" spans="1:6" s="18" customFormat="1" ht="14.25">
      <c r="A26" s="419" t="s">
        <v>394</v>
      </c>
      <c r="B26" s="509" t="e">
        <f>'(4)Loss Expenses YTD12'!H18</f>
        <v>#REF!</v>
      </c>
      <c r="C26" s="122"/>
      <c r="D26" s="510"/>
      <c r="F26" s="22"/>
    </row>
    <row r="27" spans="1:9" s="18" customFormat="1" ht="14.25">
      <c r="A27" s="419" t="s">
        <v>395</v>
      </c>
      <c r="B27" s="511">
        <v>474837</v>
      </c>
      <c r="C27" s="122"/>
      <c r="D27" s="510"/>
      <c r="F27" s="22"/>
      <c r="I27" s="122">
        <f>31050</f>
        <v>31050</v>
      </c>
    </row>
    <row r="28" spans="1:9" s="18" customFormat="1" ht="14.25">
      <c r="A28" s="419" t="s">
        <v>396</v>
      </c>
      <c r="B28" s="509"/>
      <c r="C28" s="512" t="e">
        <f>B26-B27</f>
        <v>#REF!</v>
      </c>
      <c r="D28" s="510"/>
      <c r="F28" s="22" t="s">
        <v>407</v>
      </c>
      <c r="I28" s="122">
        <f>20347.1</f>
        <v>20347.1</v>
      </c>
    </row>
    <row r="29" spans="1:9" s="18" customFormat="1" ht="15">
      <c r="A29" s="418" t="s">
        <v>397</v>
      </c>
      <c r="B29" s="509"/>
      <c r="C29" s="122"/>
      <c r="D29" s="513" t="e">
        <f>C25+C28</f>
        <v>#REF!</v>
      </c>
      <c r="E29" s="48" t="e">
        <f>+'(4)Loss Expenses YTD12'!H30</f>
        <v>#REF!</v>
      </c>
      <c r="F29" s="22"/>
      <c r="I29" s="122">
        <f>6478.27</f>
        <v>6478.27</v>
      </c>
    </row>
    <row r="30" spans="1:9" s="18" customFormat="1" ht="15">
      <c r="A30" s="418" t="s">
        <v>398</v>
      </c>
      <c r="B30" s="509"/>
      <c r="C30" s="122"/>
      <c r="D30" s="515" t="e">
        <f>D22+D29</f>
        <v>#REF!</v>
      </c>
      <c r="F30" s="22"/>
      <c r="I30" s="122">
        <f>23108.63</f>
        <v>23108.63</v>
      </c>
    </row>
    <row r="31" spans="1:9" s="18" customFormat="1" ht="14.25">
      <c r="A31" s="419" t="s">
        <v>399</v>
      </c>
      <c r="B31" s="509"/>
      <c r="C31" s="122">
        <f>23108.63+6478.27+20347.1+10350+20700+1200+600</f>
        <v>82784</v>
      </c>
      <c r="D31" s="510"/>
      <c r="F31" s="22"/>
      <c r="I31" s="122">
        <f>SUM(I27:I30)</f>
        <v>80984</v>
      </c>
    </row>
    <row r="32" spans="1:6" s="18" customFormat="1" ht="14.25">
      <c r="A32" s="419" t="s">
        <v>400</v>
      </c>
      <c r="B32" s="509">
        <f>+'Balance Sheet-1'!D34</f>
        <v>33141.47</v>
      </c>
      <c r="C32" s="122"/>
      <c r="D32" s="510"/>
      <c r="F32" s="22">
        <v>24000</v>
      </c>
    </row>
    <row r="33" spans="1:6" s="18" customFormat="1" ht="14.25">
      <c r="A33" s="419" t="s">
        <v>401</v>
      </c>
      <c r="B33" s="511">
        <v>46320</v>
      </c>
      <c r="C33" s="122" t="s">
        <v>307</v>
      </c>
      <c r="D33" s="510"/>
      <c r="F33" s="22"/>
    </row>
    <row r="34" spans="1:6" s="18" customFormat="1" ht="14.25">
      <c r="A34" s="419" t="s">
        <v>402</v>
      </c>
      <c r="B34" s="509"/>
      <c r="C34" s="512">
        <f>B32-B33</f>
        <v>-13178.529999999999</v>
      </c>
      <c r="D34" s="510"/>
      <c r="F34" s="22"/>
    </row>
    <row r="35" spans="1:6" s="18" customFormat="1" ht="14.25" hidden="1">
      <c r="A35" s="419"/>
      <c r="B35" s="509"/>
      <c r="C35" s="122"/>
      <c r="D35" s="510"/>
      <c r="F35" s="22"/>
    </row>
    <row r="36" spans="1:10" s="18" customFormat="1" ht="15" customHeight="1">
      <c r="A36" s="418" t="s">
        <v>403</v>
      </c>
      <c r="B36" s="509"/>
      <c r="C36" s="122" t="s">
        <v>307</v>
      </c>
      <c r="D36" s="510">
        <f>SUM(C31:C35)</f>
        <v>69605.47</v>
      </c>
      <c r="E36" s="253">
        <f>+'[5]TB03-31-04(Final)'!G644</f>
        <v>22313.94</v>
      </c>
      <c r="F36" s="22">
        <v>64000</v>
      </c>
      <c r="I36" s="18">
        <v>97598.57</v>
      </c>
      <c r="J36" s="114">
        <f>+D36-I36</f>
        <v>-27993.100000000006</v>
      </c>
    </row>
    <row r="37" spans="1:6" s="18" customFormat="1" ht="13.5" customHeight="1">
      <c r="A37" s="410" t="s">
        <v>146</v>
      </c>
      <c r="B37" s="509"/>
      <c r="C37" s="127"/>
      <c r="D37" s="516">
        <f>+'[5]TB03-31-04(Final)'!G630</f>
        <v>528557.35</v>
      </c>
      <c r="F37" s="22" t="s">
        <v>408</v>
      </c>
    </row>
    <row r="38" spans="1:6" s="18" customFormat="1" ht="13.5" customHeight="1">
      <c r="A38" s="410" t="s">
        <v>262</v>
      </c>
      <c r="B38" s="509"/>
      <c r="C38" s="122">
        <f>+'[5]TB03-31-04(Final)'!G635+'[5]TB03-31-04(Final)'!G639+'[5]TB03-31-04(Final)'!G647</f>
        <v>108491.93</v>
      </c>
      <c r="D38" s="510"/>
      <c r="F38" s="22" t="s">
        <v>409</v>
      </c>
    </row>
    <row r="39" spans="1:9" s="18" customFormat="1" ht="14.25">
      <c r="A39" s="410" t="s">
        <v>192</v>
      </c>
      <c r="B39" s="509"/>
      <c r="C39" s="559">
        <f>+'[5]TB03-31-04(Final)'!G1005-'(8)Earned Incurred YTD6'!C43</f>
        <v>995251.8099999997</v>
      </c>
      <c r="D39" s="510"/>
      <c r="E39" s="120"/>
      <c r="F39" s="22" t="s">
        <v>410</v>
      </c>
      <c r="I39" s="148"/>
    </row>
    <row r="40" spans="1:9" s="18" customFormat="1" ht="15">
      <c r="A40" s="409" t="s">
        <v>193</v>
      </c>
      <c r="B40" s="509"/>
      <c r="C40" s="560">
        <f>SUM(C38:C39)-1</f>
        <v>1103742.7399999998</v>
      </c>
      <c r="D40" s="510"/>
      <c r="E40" s="120"/>
      <c r="F40" s="22"/>
      <c r="I40" s="148"/>
    </row>
    <row r="41" spans="1:6" s="18" customFormat="1" ht="14.25">
      <c r="A41" s="410" t="s">
        <v>400</v>
      </c>
      <c r="B41" s="509">
        <f>-'[5]TB03-31-04(Final)'!G217</f>
        <v>330321.9</v>
      </c>
      <c r="C41" s="122"/>
      <c r="D41" s="510"/>
      <c r="F41" s="22"/>
    </row>
    <row r="42" spans="1:6" s="18" customFormat="1" ht="14.25">
      <c r="A42" s="410" t="s">
        <v>401</v>
      </c>
      <c r="B42" s="511">
        <v>356304</v>
      </c>
      <c r="C42" s="122" t="s">
        <v>307</v>
      </c>
      <c r="D42" s="510"/>
      <c r="F42" s="22"/>
    </row>
    <row r="43" spans="1:6" s="18" customFormat="1" ht="14.25">
      <c r="A43" s="410" t="s">
        <v>194</v>
      </c>
      <c r="B43" s="509"/>
      <c r="C43" s="512">
        <f>B41-B42</f>
        <v>-25982.099999999977</v>
      </c>
      <c r="D43" s="510"/>
      <c r="E43" s="238">
        <f>+C38+C39+C43</f>
        <v>1077761.6399999997</v>
      </c>
      <c r="F43" s="22"/>
    </row>
    <row r="44" spans="1:6" s="18" customFormat="1" ht="15">
      <c r="A44" s="409" t="s">
        <v>261</v>
      </c>
      <c r="B44" s="509"/>
      <c r="C44" s="122"/>
      <c r="D44" s="513">
        <f>SUM(C40:C43)+2</f>
        <v>1077762.6399999997</v>
      </c>
      <c r="E44" s="120"/>
      <c r="F44" s="22"/>
    </row>
    <row r="45" spans="1:6" s="18" customFormat="1" ht="15">
      <c r="A45" s="409" t="s">
        <v>195</v>
      </c>
      <c r="B45" s="509"/>
      <c r="C45" s="122"/>
      <c r="D45" s="558">
        <f>SUM(D36:D44)</f>
        <v>1675925.4599999995</v>
      </c>
      <c r="E45" s="120"/>
      <c r="F45" s="22"/>
    </row>
    <row r="46" spans="1:10" s="18" customFormat="1" ht="30">
      <c r="A46" s="409" t="s">
        <v>196</v>
      </c>
      <c r="B46" s="509"/>
      <c r="C46" s="122"/>
      <c r="D46" s="517" t="e">
        <f>SUM(D30:D44)</f>
        <v>#REF!</v>
      </c>
      <c r="F46" s="22"/>
      <c r="I46" s="18">
        <v>22008562.28</v>
      </c>
      <c r="J46" s="114" t="e">
        <f>+D46-I46</f>
        <v>#REF!</v>
      </c>
    </row>
    <row r="47" spans="1:6" s="18" customFormat="1" ht="15">
      <c r="A47" s="418" t="s">
        <v>69</v>
      </c>
      <c r="B47" s="509"/>
      <c r="C47" s="122"/>
      <c r="D47" s="595" t="e">
        <f>D15-D46</f>
        <v>#REF!</v>
      </c>
      <c r="F47" s="22"/>
    </row>
    <row r="48" spans="1:6" s="18" customFormat="1" ht="14.25">
      <c r="A48" s="419" t="s">
        <v>243</v>
      </c>
      <c r="B48" s="509"/>
      <c r="C48" s="122">
        <f>-'[5]TB03-31-04(Final)'!G356-'[5]TB03-31-04(Final)'!G343-'[5]TB03-31-04(Final)'!F347+'(8)Earned Incurred YTD6'!B50</f>
        <v>44581.64</v>
      </c>
      <c r="D48" s="510"/>
      <c r="F48" s="22" t="s">
        <v>412</v>
      </c>
    </row>
    <row r="49" spans="1:6" s="18" customFormat="1" ht="14.25">
      <c r="A49" s="419" t="s">
        <v>417</v>
      </c>
      <c r="B49" s="509">
        <f>+'[5]TB03-31-04(Final)'!G25</f>
        <v>10038.47</v>
      </c>
      <c r="C49" s="122"/>
      <c r="D49" s="510"/>
      <c r="F49" s="22">
        <v>12150</v>
      </c>
    </row>
    <row r="50" spans="1:6" s="18" customFormat="1" ht="14.25">
      <c r="A50" s="419" t="s">
        <v>418</v>
      </c>
      <c r="B50" s="511">
        <v>17084</v>
      </c>
      <c r="C50" s="122" t="s">
        <v>307</v>
      </c>
      <c r="D50" s="510"/>
      <c r="F50" s="22"/>
    </row>
    <row r="51" spans="1:6" s="18" customFormat="1" ht="15">
      <c r="A51" s="419" t="s">
        <v>419</v>
      </c>
      <c r="B51" s="509"/>
      <c r="C51" s="512">
        <f>B49-B50</f>
        <v>-7045.530000000001</v>
      </c>
      <c r="D51" s="515"/>
      <c r="F51" s="22"/>
    </row>
    <row r="52" spans="1:9" s="18" customFormat="1" ht="15">
      <c r="A52" s="418" t="s">
        <v>244</v>
      </c>
      <c r="B52" s="509"/>
      <c r="C52" s="122"/>
      <c r="D52" s="518">
        <f>C48+C51</f>
        <v>37536.11</v>
      </c>
      <c r="E52" s="253">
        <f>+'[5]TB03-31-04(Final)'!G348</f>
        <v>-29950.73</v>
      </c>
      <c r="F52" s="22" t="s">
        <v>411</v>
      </c>
      <c r="I52" s="148"/>
    </row>
    <row r="53" spans="1:10" s="18" customFormat="1" ht="15">
      <c r="A53" s="420"/>
      <c r="B53" s="530"/>
      <c r="C53" s="357"/>
      <c r="D53" s="534"/>
      <c r="F53" s="22"/>
      <c r="J53" s="114"/>
    </row>
    <row r="54" spans="1:9" s="18" customFormat="1" ht="15">
      <c r="A54" s="421" t="s">
        <v>70</v>
      </c>
      <c r="B54" s="532"/>
      <c r="C54" s="533"/>
      <c r="D54" s="535" t="e">
        <f>D47+D52</f>
        <v>#REF!</v>
      </c>
      <c r="F54" s="22" t="s">
        <v>71</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86"/>
      <c r="B57" s="987"/>
      <c r="C57" s="987"/>
      <c r="D57" s="987"/>
      <c r="F57" s="22"/>
      <c r="J57" s="114"/>
    </row>
    <row r="58" spans="1:6" s="18" customFormat="1" ht="15">
      <c r="A58" s="144"/>
      <c r="B58" s="536"/>
      <c r="C58" s="537"/>
      <c r="D58" s="537"/>
      <c r="F58" s="22"/>
    </row>
    <row r="59" spans="1:6" s="18" customFormat="1" ht="15">
      <c r="A59" s="978" t="s">
        <v>122</v>
      </c>
      <c r="B59" s="978"/>
      <c r="C59" s="978"/>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Y1:AB1"/>
    <mergeCell ref="A59:C59"/>
    <mergeCell ref="A5:D5"/>
    <mergeCell ref="A1:D1"/>
    <mergeCell ref="A2:D2"/>
    <mergeCell ref="A3:D3"/>
    <mergeCell ref="A4:D4"/>
    <mergeCell ref="E1:H1"/>
    <mergeCell ref="M1:P1"/>
    <mergeCell ref="Q1:T1"/>
    <mergeCell ref="A57:D57"/>
    <mergeCell ref="U1:X1"/>
    <mergeCell ref="BU1:BX1"/>
    <mergeCell ref="AC1:AF1"/>
    <mergeCell ref="AG1:AJ1"/>
    <mergeCell ref="AK1:AN1"/>
    <mergeCell ref="AO1:AR1"/>
    <mergeCell ref="AS1:AV1"/>
    <mergeCell ref="AW1:AZ1"/>
    <mergeCell ref="BA1:BD1"/>
    <mergeCell ref="BE1:BH1"/>
    <mergeCell ref="BI1:BL1"/>
    <mergeCell ref="BM1:BP1"/>
    <mergeCell ref="BQ1:BT1"/>
    <mergeCell ref="DQ1:DT1"/>
    <mergeCell ref="BY1:CB1"/>
    <mergeCell ref="CC1:CF1"/>
    <mergeCell ref="CG1:CJ1"/>
    <mergeCell ref="CK1:CN1"/>
    <mergeCell ref="CO1:CR1"/>
    <mergeCell ref="CS1:CV1"/>
    <mergeCell ref="CW1:CZ1"/>
    <mergeCell ref="DA1:DD1"/>
    <mergeCell ref="DE1:DH1"/>
    <mergeCell ref="DI1:DL1"/>
    <mergeCell ref="DM1:DP1"/>
    <mergeCell ref="FM1:FP1"/>
    <mergeCell ref="DU1:DX1"/>
    <mergeCell ref="DY1:EB1"/>
    <mergeCell ref="EC1:EF1"/>
    <mergeCell ref="EG1:EJ1"/>
    <mergeCell ref="EK1:EN1"/>
    <mergeCell ref="EO1:ER1"/>
    <mergeCell ref="ES1:EV1"/>
    <mergeCell ref="EW1:EZ1"/>
    <mergeCell ref="FA1:FD1"/>
    <mergeCell ref="FE1:FH1"/>
    <mergeCell ref="FI1:FL1"/>
    <mergeCell ref="HI1:HL1"/>
    <mergeCell ref="FQ1:FT1"/>
    <mergeCell ref="FU1:FX1"/>
    <mergeCell ref="FY1:GB1"/>
    <mergeCell ref="GC1:GF1"/>
    <mergeCell ref="GG1:GJ1"/>
    <mergeCell ref="GK1:GN1"/>
    <mergeCell ref="GO1:GR1"/>
    <mergeCell ref="GS1:GV1"/>
    <mergeCell ref="GW1:GZ1"/>
    <mergeCell ref="HA1:HD1"/>
    <mergeCell ref="HE1:HH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297</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420</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89</v>
      </c>
      <c r="C7" s="444" t="s">
        <v>93</v>
      </c>
      <c r="D7" s="444" t="s">
        <v>189</v>
      </c>
      <c r="E7" s="444" t="s">
        <v>259</v>
      </c>
      <c r="F7" s="444" t="s">
        <v>144</v>
      </c>
      <c r="G7" s="445" t="s">
        <v>298</v>
      </c>
      <c r="H7" s="584"/>
    </row>
    <row r="8" spans="1:7" ht="15.75">
      <c r="A8" s="446" t="s">
        <v>421</v>
      </c>
      <c r="B8" s="447"/>
      <c r="C8" s="447"/>
      <c r="D8" s="447"/>
      <c r="E8" s="447"/>
      <c r="F8" s="447"/>
      <c r="G8" s="447"/>
    </row>
    <row r="9" spans="1:8" s="99" customFormat="1" ht="15">
      <c r="A9" s="447" t="s">
        <v>21</v>
      </c>
      <c r="B9" s="472">
        <f>-SUM('[5]TB03-31-04(Final)'!F297)</f>
        <v>91475</v>
      </c>
      <c r="C9" s="472">
        <f>-SUM('[5]TB03-31-04(Final)'!F296)</f>
        <v>-3288</v>
      </c>
      <c r="D9" s="472">
        <f>-SUM('[5]TB03-31-04(Final)'!F295)</f>
        <v>0</v>
      </c>
      <c r="E9" s="548">
        <f>-SUM('[5]TB03-31-04(Final)'!F294)</f>
        <v>0</v>
      </c>
      <c r="F9" s="126">
        <f>-SUM('[5]TB03-31-04(Final)'!F293)</f>
        <v>0</v>
      </c>
      <c r="G9" s="543">
        <f>SUM(B9:F9)</f>
        <v>88187</v>
      </c>
      <c r="H9" s="586"/>
    </row>
    <row r="10" spans="1:8" ht="15.75">
      <c r="A10" s="447" t="s">
        <v>435</v>
      </c>
      <c r="B10" s="126">
        <f>-SUM('[5]TB03-31-04(Final)'!F306)</f>
        <v>27184</v>
      </c>
      <c r="C10" s="126">
        <f>-SUM('[5]TB03-31-04(Final)'!F305)</f>
        <v>-791</v>
      </c>
      <c r="D10" s="126">
        <f>-SUM('[5]TB03-31-04(Final)'!F304)</f>
        <v>0</v>
      </c>
      <c r="E10" s="126">
        <f>-SUM('[5]TB03-31-04(Final)'!F303)</f>
        <v>0</v>
      </c>
      <c r="F10" s="126">
        <f>-SUM('[5]TB03-31-04(Final)'!F302)</f>
        <v>0</v>
      </c>
      <c r="G10" s="546">
        <f>SUM(B10:F10)</f>
        <v>26393</v>
      </c>
      <c r="H10" s="586"/>
    </row>
    <row r="11" spans="1:22" ht="15.75">
      <c r="A11" s="447" t="s">
        <v>436</v>
      </c>
      <c r="B11" s="126">
        <f>-'[5]TB03-31-04(Final)'!F315</f>
        <v>-19</v>
      </c>
      <c r="C11" s="126">
        <f>-'[5]TB03-31-04(Final)'!F314</f>
        <v>1</v>
      </c>
      <c r="D11" s="126">
        <v>0</v>
      </c>
      <c r="E11" s="126" t="e">
        <f>-'[5]TB03-31-04(Final)'!F310</f>
        <v>#REF!</v>
      </c>
      <c r="F11" s="126" t="e">
        <f>-'[5]TB03-31-04(Final)'!F311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425</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6" t="s">
        <v>217</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21</v>
      </c>
      <c r="B15" s="126">
        <f>-'[5]TB03-31-04(Final)'!F51</f>
        <v>4674519</v>
      </c>
      <c r="C15" s="126">
        <f>-'[5]TB03-31-04(Final)'!F50</f>
        <v>0</v>
      </c>
      <c r="D15" s="126">
        <f>-'[5]TB03-31-04(Final)'!F49</f>
        <v>0</v>
      </c>
      <c r="E15" s="126" t="e">
        <f>-'[5]TB03-31-04(Final)'!F48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435</v>
      </c>
      <c r="B16" s="126">
        <f>-'[5]TB03-31-04(Final)'!F57</f>
        <v>1490507</v>
      </c>
      <c r="C16" s="126">
        <f>-'[5]TB03-31-04(Final)'!F56</f>
        <v>0</v>
      </c>
      <c r="D16" s="126">
        <f>-'[5]TB03-31-04(Final)'!F55</f>
        <v>0</v>
      </c>
      <c r="E16" s="126" t="e">
        <f>-'[5]TB03-31-04(Final)'!F54</f>
        <v>#REF!</v>
      </c>
      <c r="F16" s="126" t="e">
        <f>-'[5]TB03-31-04(Final)'!F53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436</v>
      </c>
      <c r="B17" s="126">
        <f>-'[5]TB03-31-04(Final)'!F63</f>
        <v>19657</v>
      </c>
      <c r="C17" s="126">
        <f>-'[5]TB03-31-04(Final)'!F62</f>
        <v>0</v>
      </c>
      <c r="D17" s="126">
        <f>-'[5]TB03-31-04(Final)'!F61</f>
        <v>0</v>
      </c>
      <c r="E17" s="126" t="e">
        <f>-'[5]TB03-31-04(Final)'!F60</f>
        <v>#REF!</v>
      </c>
      <c r="F17" s="126" t="e">
        <f>-'[5]TB03-31-04(Final)'!F59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425</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6" t="s">
        <v>249</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21</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435</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436</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425</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426</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447</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63</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448</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425</v>
      </c>
      <c r="B30" s="544">
        <f aca="true" t="shared" si="5" ref="B30:G30">SUM(B27:B29)</f>
        <v>-6066043</v>
      </c>
      <c r="C30" s="544">
        <f t="shared" si="5"/>
        <v>8893048</v>
      </c>
      <c r="D30" s="544">
        <f t="shared" si="5"/>
        <v>0</v>
      </c>
      <c r="E30" s="544" t="e">
        <f t="shared" si="5"/>
        <v>#REF!</v>
      </c>
      <c r="F30" s="551" t="e">
        <f t="shared" si="5"/>
        <v>#REF!</v>
      </c>
      <c r="G30" s="545"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88" t="s">
        <v>8</v>
      </c>
      <c r="B33" s="988"/>
      <c r="C33" s="988"/>
      <c r="D33" s="988"/>
      <c r="E33" s="988"/>
      <c r="F33" s="988"/>
      <c r="G33" s="988"/>
      <c r="H33" s="988"/>
    </row>
    <row r="34" spans="1:8" s="757" customFormat="1" ht="12.75">
      <c r="A34" s="988"/>
      <c r="B34" s="988"/>
      <c r="C34" s="988"/>
      <c r="D34" s="988"/>
      <c r="E34" s="988"/>
      <c r="F34" s="988"/>
      <c r="G34" s="988"/>
      <c r="H34" s="988"/>
    </row>
    <row r="35" spans="1:8" s="757" customFormat="1" ht="12.75">
      <c r="A35" s="988"/>
      <c r="B35" s="988"/>
      <c r="C35" s="988"/>
      <c r="D35" s="988"/>
      <c r="E35" s="988"/>
      <c r="F35" s="988"/>
      <c r="G35" s="988"/>
      <c r="H35" s="988"/>
    </row>
    <row r="36" spans="1:8" s="757" customFormat="1" ht="12.75">
      <c r="A36" s="756"/>
      <c r="B36" s="756"/>
      <c r="C36" s="756"/>
      <c r="D36" s="756"/>
      <c r="E36" s="756"/>
      <c r="F36" s="756"/>
      <c r="G36" s="756"/>
      <c r="H36" s="756"/>
    </row>
    <row r="37" spans="2:4" s="757" customFormat="1" ht="12" customHeight="1">
      <c r="B37" s="758"/>
      <c r="C37" s="989" t="s">
        <v>9</v>
      </c>
      <c r="D37" s="989" t="s">
        <v>10</v>
      </c>
    </row>
    <row r="38" spans="2:4" s="757" customFormat="1" ht="12" customHeight="1">
      <c r="B38" s="759" t="s">
        <v>363</v>
      </c>
      <c r="C38" s="989"/>
      <c r="D38" s="989"/>
    </row>
    <row r="39" spans="1:7" s="757" customFormat="1" ht="12" customHeight="1">
      <c r="A39" s="760" t="s">
        <v>11</v>
      </c>
      <c r="B39" s="763">
        <v>478783</v>
      </c>
      <c r="C39" s="763">
        <v>1343200</v>
      </c>
      <c r="D39" s="763">
        <f>B39+C39</f>
        <v>1821983</v>
      </c>
      <c r="E39" s="761"/>
      <c r="F39" s="761"/>
      <c r="G39" s="761"/>
    </row>
    <row r="40" spans="1:7" s="757" customFormat="1" ht="12" customHeight="1">
      <c r="A40" s="760" t="s">
        <v>82</v>
      </c>
      <c r="B40" s="764">
        <v>487924</v>
      </c>
      <c r="C40" s="764">
        <v>1418672</v>
      </c>
      <c r="D40" s="764">
        <f>B40+C40</f>
        <v>1906596</v>
      </c>
      <c r="E40" s="761"/>
      <c r="F40" s="761"/>
      <c r="G40" s="761"/>
    </row>
    <row r="41" spans="1:7" s="757" customFormat="1" ht="12" customHeight="1">
      <c r="A41" s="760" t="s">
        <v>251</v>
      </c>
      <c r="B41" s="764">
        <v>509815</v>
      </c>
      <c r="C41" s="764">
        <v>1518349</v>
      </c>
      <c r="D41" s="764">
        <f>B41+C41</f>
        <v>2028164</v>
      </c>
      <c r="E41" s="761"/>
      <c r="F41" s="761"/>
      <c r="G41" s="761"/>
    </row>
    <row r="42" spans="1:7" s="757" customFormat="1" ht="12" customHeight="1">
      <c r="A42" s="760" t="s">
        <v>52</v>
      </c>
      <c r="B42" s="764">
        <v>508338</v>
      </c>
      <c r="C42" s="764">
        <v>1585267</v>
      </c>
      <c r="D42" s="764">
        <f>B42+C42</f>
        <v>2093605</v>
      </c>
      <c r="E42" s="761"/>
      <c r="F42" s="761"/>
      <c r="G42" s="761"/>
    </row>
    <row r="43" spans="1:7" s="757" customFormat="1" ht="12" customHeight="1" thickBot="1">
      <c r="A43" s="760" t="s">
        <v>108</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88" t="s">
        <v>12</v>
      </c>
      <c r="B45" s="988"/>
      <c r="C45" s="988"/>
      <c r="D45" s="988"/>
      <c r="E45" s="988"/>
      <c r="F45" s="988"/>
      <c r="G45" s="988"/>
      <c r="H45" s="988"/>
    </row>
    <row r="46" spans="1:8" s="757" customFormat="1" ht="12.75">
      <c r="A46" s="988"/>
      <c r="B46" s="988"/>
      <c r="C46" s="988"/>
      <c r="D46" s="988"/>
      <c r="E46" s="988"/>
      <c r="F46" s="988"/>
      <c r="G46" s="988"/>
      <c r="H46" s="988"/>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E1"/>
    </sheetView>
  </sheetViews>
  <sheetFormatPr defaultColWidth="15.710937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72" t="s">
        <v>297</v>
      </c>
      <c r="B1" s="972"/>
      <c r="C1" s="972"/>
      <c r="D1" s="972"/>
      <c r="E1" s="972"/>
    </row>
    <row r="2" spans="1:3" s="20" customFormat="1" ht="15" customHeight="1">
      <c r="A2" s="964"/>
      <c r="B2" s="964"/>
      <c r="C2" s="964"/>
    </row>
    <row r="3" spans="1:5" s="21" customFormat="1" ht="15" customHeight="1">
      <c r="A3" s="990" t="s">
        <v>315</v>
      </c>
      <c r="B3" s="990"/>
      <c r="C3" s="990"/>
      <c r="D3" s="990"/>
      <c r="E3" s="990"/>
    </row>
    <row r="4" spans="1:5" s="21" customFormat="1" ht="15" customHeight="1">
      <c r="A4" s="991" t="s">
        <v>479</v>
      </c>
      <c r="B4" s="990"/>
      <c r="C4" s="990"/>
      <c r="D4" s="990"/>
      <c r="E4" s="990"/>
    </row>
    <row r="5" spans="1:3" s="21" customFormat="1" ht="15" customHeight="1">
      <c r="A5" s="378"/>
      <c r="B5" s="379"/>
      <c r="C5" s="379"/>
    </row>
    <row r="6" spans="1:5" ht="15" customHeight="1">
      <c r="A6" s="369"/>
      <c r="B6" s="886" t="s">
        <v>250</v>
      </c>
      <c r="C6" s="887"/>
      <c r="D6" s="886" t="s">
        <v>65</v>
      </c>
      <c r="E6" s="887"/>
    </row>
    <row r="7" spans="1:5" ht="15" customHeight="1">
      <c r="A7" s="369"/>
      <c r="B7" s="814"/>
      <c r="C7" s="815"/>
      <c r="D7" s="814"/>
      <c r="E7" s="815"/>
    </row>
    <row r="8" spans="1:5" ht="15" customHeight="1">
      <c r="A8" s="816" t="s">
        <v>317</v>
      </c>
      <c r="B8" s="814"/>
      <c r="C8" s="817"/>
      <c r="D8" s="814"/>
      <c r="E8" s="817"/>
    </row>
    <row r="9" spans="1:5" ht="15" customHeight="1">
      <c r="A9" s="816"/>
      <c r="B9" s="814"/>
      <c r="C9" s="817"/>
      <c r="D9" s="814"/>
      <c r="E9" s="817"/>
    </row>
    <row r="10" spans="1:5" ht="15" customHeight="1">
      <c r="A10" s="369" t="s">
        <v>318</v>
      </c>
      <c r="B10" s="380"/>
      <c r="C10" s="561">
        <f>'Earned Incurred QTD-5'!D16</f>
        <v>3372379.37</v>
      </c>
      <c r="D10" s="380"/>
      <c r="E10" s="561">
        <f>'Earned Incurred YTD-6'!D16</f>
        <v>10329489.29</v>
      </c>
    </row>
    <row r="11" spans="1:5" ht="15" customHeight="1">
      <c r="A11" s="816"/>
      <c r="B11" s="380"/>
      <c r="C11" s="818"/>
      <c r="D11" s="380"/>
      <c r="E11" s="818"/>
    </row>
    <row r="12" spans="1:5" ht="15" customHeight="1">
      <c r="A12" s="816" t="s">
        <v>319</v>
      </c>
      <c r="B12" s="380"/>
      <c r="C12" s="818"/>
      <c r="D12" s="380"/>
      <c r="E12" s="818"/>
    </row>
    <row r="13" spans="1:5" ht="15" customHeight="1">
      <c r="A13" s="369" t="s">
        <v>320</v>
      </c>
      <c r="B13" s="127">
        <f>'Earned Incurred QTD-5'!D23</f>
        <v>1945103.6000000003</v>
      </c>
      <c r="C13" s="818"/>
      <c r="D13" s="127">
        <f>'Earned Incurred YTD-6'!D23</f>
        <v>4786199.88</v>
      </c>
      <c r="E13" s="818"/>
    </row>
    <row r="14" spans="1:5" ht="15" customHeight="1">
      <c r="A14" s="369" t="s">
        <v>321</v>
      </c>
      <c r="B14" s="127">
        <f>'Earned Incurred QTD-5'!D30</f>
        <v>307493.9</v>
      </c>
      <c r="C14" s="818"/>
      <c r="D14" s="127">
        <f>'Earned Incurred YTD-6'!D30</f>
        <v>806819.1799999999</v>
      </c>
      <c r="E14" s="818"/>
    </row>
    <row r="15" spans="1:5" ht="15" customHeight="1">
      <c r="A15" s="369" t="s">
        <v>322</v>
      </c>
      <c r="B15" s="127">
        <f>'Earned Incurred QTD-5'!C37</f>
        <v>298645.75</v>
      </c>
      <c r="C15" s="818"/>
      <c r="D15" s="127">
        <f>'Earned Incurred YTD-6'!C37</f>
        <v>869150.3</v>
      </c>
      <c r="E15" s="818"/>
    </row>
    <row r="16" spans="1:6" ht="15" customHeight="1">
      <c r="A16" s="369" t="s">
        <v>323</v>
      </c>
      <c r="B16" s="127">
        <f>'Earned Incurred QTD-5'!C38+'Earned Incurred QTD-5'!C39+'Earned Incurred QTD-5'!C43</f>
        <v>1085295.77</v>
      </c>
      <c r="C16" s="818"/>
      <c r="D16" s="127">
        <f>'Earned Incurred YTD-6'!C38+'Earned Incurred YTD-6'!C39+'Earned Incurred YTD-6'!C43</f>
        <v>3125799.159999998</v>
      </c>
      <c r="E16" s="818"/>
      <c r="F16" s="114"/>
    </row>
    <row r="17" spans="1:5" ht="15" customHeight="1">
      <c r="A17" s="369" t="s">
        <v>145</v>
      </c>
      <c r="B17" s="145">
        <f>'Earned Incurred QTD-5'!D36</f>
        <v>10694.12</v>
      </c>
      <c r="C17" s="818"/>
      <c r="D17" s="145">
        <f>'Earned Incurred YTD-6'!D36</f>
        <v>41449.73</v>
      </c>
      <c r="E17" s="818"/>
    </row>
    <row r="18" spans="1:5" ht="15" customHeight="1">
      <c r="A18" s="369" t="s">
        <v>37</v>
      </c>
      <c r="B18" s="380"/>
      <c r="C18" s="488">
        <f>SUM(B13:B17)+1</f>
        <v>3647234.1400000006</v>
      </c>
      <c r="D18" s="380"/>
      <c r="E18" s="488">
        <f>SUM(D13:D17)</f>
        <v>9629418.249999998</v>
      </c>
    </row>
    <row r="19" spans="1:5" ht="15" customHeight="1">
      <c r="A19" s="369"/>
      <c r="B19" s="380"/>
      <c r="C19" s="489"/>
      <c r="D19" s="380"/>
      <c r="E19" s="489"/>
    </row>
    <row r="20" spans="1:5" ht="15" customHeight="1">
      <c r="A20" s="369" t="s">
        <v>499</v>
      </c>
      <c r="B20" s="380"/>
      <c r="C20" s="919">
        <f>C10-C18</f>
        <v>-274854.7700000005</v>
      </c>
      <c r="D20" s="380"/>
      <c r="E20" s="489">
        <f>E10-E18</f>
        <v>700071.040000001</v>
      </c>
    </row>
    <row r="21" spans="1:5" ht="15" customHeight="1">
      <c r="A21" s="816"/>
      <c r="B21" s="380"/>
      <c r="C21" s="489"/>
      <c r="D21" s="380"/>
      <c r="E21" s="489"/>
    </row>
    <row r="22" spans="1:5" ht="15" customHeight="1">
      <c r="A22" s="816" t="s">
        <v>325</v>
      </c>
      <c r="B22" s="380"/>
      <c r="C22" s="489"/>
      <c r="D22" s="380"/>
      <c r="E22" s="489"/>
    </row>
    <row r="23" spans="1:5" ht="15" customHeight="1">
      <c r="A23" s="369" t="s">
        <v>91</v>
      </c>
      <c r="B23" s="380"/>
      <c r="C23" s="488">
        <f>'Earned Incurred QTD-5'!D52</f>
        <v>39050.26999999999</v>
      </c>
      <c r="D23" s="380"/>
      <c r="E23" s="488">
        <f>'Earned Incurred YTD-6'!D52</f>
        <v>180628.87</v>
      </c>
    </row>
    <row r="24" spans="1:5" ht="15" customHeight="1">
      <c r="A24" s="369"/>
      <c r="B24" s="380"/>
      <c r="C24" s="489"/>
      <c r="D24" s="380"/>
      <c r="E24" s="489"/>
    </row>
    <row r="25" spans="1:5" ht="15" customHeight="1" thickBot="1">
      <c r="A25" s="369" t="s">
        <v>497</v>
      </c>
      <c r="B25" s="380"/>
      <c r="C25" s="920">
        <f>C20+C23</f>
        <v>-235804.5000000005</v>
      </c>
      <c r="D25" s="380"/>
      <c r="E25" s="490">
        <f>E20+E23</f>
        <v>880699.910000001</v>
      </c>
    </row>
    <row r="26" spans="1:5" ht="15" customHeight="1">
      <c r="A26" s="816"/>
      <c r="B26" s="380"/>
      <c r="C26" s="641"/>
      <c r="D26" s="380"/>
      <c r="E26" s="641"/>
    </row>
    <row r="27" spans="1:5" ht="15" customHeight="1">
      <c r="A27" s="816" t="s">
        <v>313</v>
      </c>
      <c r="B27" s="380"/>
      <c r="C27" s="489"/>
      <c r="D27" s="380"/>
      <c r="E27" s="489"/>
    </row>
    <row r="28" spans="1:5" ht="15" customHeight="1">
      <c r="A28" s="369" t="s">
        <v>90</v>
      </c>
      <c r="B28" s="380"/>
      <c r="C28" s="919">
        <v>-546635</v>
      </c>
      <c r="D28" s="380"/>
      <c r="E28" s="919">
        <v>-1793165</v>
      </c>
    </row>
    <row r="29" spans="1:5" ht="15" customHeight="1">
      <c r="A29" s="369" t="s">
        <v>498</v>
      </c>
      <c r="B29" s="921">
        <f>C25</f>
        <v>-235804.5000000005</v>
      </c>
      <c r="C29" s="489"/>
      <c r="D29" s="127">
        <f>E25</f>
        <v>880699.910000001</v>
      </c>
      <c r="E29" s="489"/>
    </row>
    <row r="30" spans="1:6" ht="15" customHeight="1">
      <c r="A30" s="369" t="s">
        <v>328</v>
      </c>
      <c r="B30" s="934">
        <f>-'[7]Trial Balance'!C207</f>
        <v>65080.72</v>
      </c>
      <c r="C30" s="489"/>
      <c r="D30" s="922">
        <v>195106</v>
      </c>
      <c r="E30" s="489"/>
      <c r="F30" s="114"/>
    </row>
    <row r="31" spans="3:7" ht="14.25">
      <c r="C31" s="489"/>
      <c r="D31" s="127"/>
      <c r="E31" s="489"/>
      <c r="F31" s="127"/>
      <c r="G31" s="127"/>
    </row>
    <row r="32" spans="1:7" ht="15" customHeight="1">
      <c r="A32" s="369" t="s">
        <v>329</v>
      </c>
      <c r="C32" s="919">
        <f>SUM(B29:B32)</f>
        <v>-170723.7800000005</v>
      </c>
      <c r="D32" s="127"/>
      <c r="E32" s="919">
        <f>SUM(D29:D32)</f>
        <v>1075805.910000001</v>
      </c>
      <c r="G32" s="114"/>
    </row>
    <row r="33" spans="1:5" ht="15" customHeight="1">
      <c r="A33" s="369"/>
      <c r="C33" s="819"/>
      <c r="D33" s="127"/>
      <c r="E33" s="819"/>
    </row>
    <row r="34" spans="1:5" ht="15" customHeight="1" thickBot="1">
      <c r="A34" s="820" t="s">
        <v>480</v>
      </c>
      <c r="B34" s="380"/>
      <c r="C34" s="923">
        <f>C28+C32</f>
        <v>-717358.7800000005</v>
      </c>
      <c r="D34" s="380"/>
      <c r="E34" s="923">
        <f>E28+E32</f>
        <v>-717359.0899999989</v>
      </c>
    </row>
    <row r="35" spans="2:5" s="14" customFormat="1" ht="15" customHeight="1" thickTop="1">
      <c r="B35" s="256"/>
      <c r="C35" s="127"/>
      <c r="D35" s="369"/>
      <c r="E35" s="127"/>
    </row>
    <row r="36" spans="3:5" ht="15" customHeight="1">
      <c r="C36" s="347"/>
      <c r="E36" s="347"/>
    </row>
    <row r="39" s="127"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8"/>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2" t="s">
        <v>297</v>
      </c>
      <c r="B1" s="992"/>
      <c r="C1" s="992"/>
      <c r="D1" s="992"/>
      <c r="E1" s="992"/>
      <c r="F1" s="992"/>
      <c r="G1" s="992"/>
    </row>
    <row r="2" spans="1:7" s="27" customFormat="1" ht="15" customHeight="1">
      <c r="A2" s="993"/>
      <c r="B2" s="993"/>
      <c r="C2" s="993"/>
      <c r="D2" s="993"/>
      <c r="E2" s="993"/>
      <c r="F2" s="993"/>
      <c r="G2" s="993"/>
    </row>
    <row r="3" spans="1:7" s="773" customFormat="1" ht="15" customHeight="1">
      <c r="A3" s="994" t="s">
        <v>330</v>
      </c>
      <c r="B3" s="994"/>
      <c r="C3" s="994"/>
      <c r="D3" s="994"/>
      <c r="E3" s="994"/>
      <c r="F3" s="994"/>
      <c r="G3" s="994"/>
    </row>
    <row r="4" spans="1:7" s="773" customFormat="1" ht="15" customHeight="1">
      <c r="A4" s="994" t="s">
        <v>481</v>
      </c>
      <c r="B4" s="994"/>
      <c r="C4" s="994"/>
      <c r="D4" s="994"/>
      <c r="E4" s="994"/>
      <c r="F4" s="994"/>
      <c r="G4" s="994"/>
    </row>
    <row r="5" spans="1:7" s="29" customFormat="1" ht="15" customHeight="1">
      <c r="A5" s="381"/>
      <c r="B5" s="797"/>
      <c r="C5" s="797"/>
      <c r="D5" s="798"/>
      <c r="E5" s="799"/>
      <c r="F5" s="799"/>
      <c r="G5" s="800"/>
    </row>
    <row r="6" spans="1:7" s="776" customFormat="1" ht="30" customHeight="1">
      <c r="A6" s="821"/>
      <c r="B6" s="904" t="s">
        <v>3</v>
      </c>
      <c r="C6" s="904" t="s">
        <v>44</v>
      </c>
      <c r="D6" s="904" t="s">
        <v>41</v>
      </c>
      <c r="E6" s="904" t="s">
        <v>47</v>
      </c>
      <c r="F6" s="905" t="s">
        <v>4</v>
      </c>
      <c r="G6" s="885" t="s">
        <v>298</v>
      </c>
    </row>
    <row r="7" spans="1:7" s="777" customFormat="1" ht="15" customHeight="1">
      <c r="A7" s="822" t="s">
        <v>332</v>
      </c>
      <c r="B7" s="823"/>
      <c r="C7" s="823"/>
      <c r="D7" s="824"/>
      <c r="E7" s="824"/>
      <c r="F7" s="824"/>
      <c r="G7" s="824"/>
    </row>
    <row r="8" spans="1:7" s="775" customFormat="1" ht="15" customHeight="1">
      <c r="A8" s="825" t="s">
        <v>333</v>
      </c>
      <c r="B8" s="925">
        <f>'Premiums QTD-7'!B12</f>
        <v>3371974</v>
      </c>
      <c r="C8" s="925">
        <f>'Premiums QTD-7'!C12</f>
        <v>-16793</v>
      </c>
      <c r="D8" s="925">
        <f>'Premiums QTD-7'!D12</f>
        <v>1182</v>
      </c>
      <c r="E8" s="925">
        <f>'Premiums QTD-7'!E12</f>
        <v>1092</v>
      </c>
      <c r="F8" s="589">
        <f>'Premiums QTD-7'!F12</f>
        <v>0</v>
      </c>
      <c r="G8" s="826">
        <f>SUM(B8:F8)</f>
        <v>3357455</v>
      </c>
    </row>
    <row r="9" spans="1:7" s="775" customFormat="1" ht="15" customHeight="1">
      <c r="A9" s="825" t="s">
        <v>334</v>
      </c>
      <c r="B9" s="927">
        <f>'Earned Incurred QTD-5'!C48</f>
        <v>49672.45999999999</v>
      </c>
      <c r="C9" s="589">
        <v>0</v>
      </c>
      <c r="D9" s="589">
        <v>0</v>
      </c>
      <c r="E9" s="589">
        <v>0</v>
      </c>
      <c r="F9" s="589">
        <v>0</v>
      </c>
      <c r="G9" s="827">
        <f>SUM(B9:F9)</f>
        <v>49672.45999999999</v>
      </c>
    </row>
    <row r="10" spans="1:7" s="775" customFormat="1" ht="15" customHeight="1" thickBot="1">
      <c r="A10" s="828" t="s">
        <v>335</v>
      </c>
      <c r="B10" s="926">
        <f aca="true" t="shared" si="0" ref="B10:G10">SUM(B8:B9)</f>
        <v>3421646.46</v>
      </c>
      <c r="C10" s="926">
        <f t="shared" si="0"/>
        <v>-16793</v>
      </c>
      <c r="D10" s="926">
        <f t="shared" si="0"/>
        <v>1182</v>
      </c>
      <c r="E10" s="926">
        <f t="shared" si="0"/>
        <v>1092</v>
      </c>
      <c r="F10" s="946">
        <f t="shared" si="0"/>
        <v>0</v>
      </c>
      <c r="G10" s="830">
        <f t="shared" si="0"/>
        <v>3407127.46</v>
      </c>
    </row>
    <row r="11" spans="1:7" s="775" customFormat="1" ht="15" customHeight="1" thickTop="1">
      <c r="A11" s="828"/>
      <c r="B11" s="831"/>
      <c r="C11" s="831"/>
      <c r="D11" s="831"/>
      <c r="E11" s="827"/>
      <c r="F11" s="827"/>
      <c r="G11" s="827"/>
    </row>
    <row r="12" spans="1:7" s="775" customFormat="1" ht="15" customHeight="1">
      <c r="A12" s="822" t="s">
        <v>336</v>
      </c>
      <c r="B12" s="824"/>
      <c r="C12" s="824"/>
      <c r="D12" s="824"/>
      <c r="E12" s="832"/>
      <c r="F12" s="832"/>
      <c r="G12" s="827"/>
    </row>
    <row r="13" spans="1:7" s="775" customFormat="1" ht="15" customHeight="1">
      <c r="A13" s="828" t="s">
        <v>337</v>
      </c>
      <c r="B13" s="927">
        <f>'Losses Incurred QTD-9'!B12</f>
        <v>502793.67000000004</v>
      </c>
      <c r="C13" s="927">
        <f>'Losses Incurred QTD-9'!C12</f>
        <v>1260887.97</v>
      </c>
      <c r="D13" s="927">
        <f>'Losses Incurred QTD-9'!D12</f>
        <v>38017.78</v>
      </c>
      <c r="E13" s="589">
        <f>'Losses Incurred QTD-9'!E12</f>
        <v>0</v>
      </c>
      <c r="F13" s="927">
        <f>'Losses Incurred QTD-9'!F12</f>
        <v>12521.48</v>
      </c>
      <c r="G13" s="827">
        <f>SUM(B13:F13)</f>
        <v>1814220.9000000001</v>
      </c>
    </row>
    <row r="14" spans="1:7" s="775" customFormat="1" ht="15" customHeight="1">
      <c r="A14" s="828" t="s">
        <v>338</v>
      </c>
      <c r="B14" s="827">
        <f>'[7]Loss Expenses Paid QTD-15'!C36</f>
        <v>40014.19</v>
      </c>
      <c r="C14" s="827">
        <f>'[7]Loss Expenses Paid QTD-15'!C30</f>
        <v>76405.89</v>
      </c>
      <c r="D14" s="827">
        <f>'[7]Loss Expenses Paid QTD-15'!C24</f>
        <v>12089.94</v>
      </c>
      <c r="E14" s="827">
        <f>'[7]Loss Expenses Paid QTD-15'!C18</f>
        <v>8607.359999999999</v>
      </c>
      <c r="F14" s="827">
        <f>'[7]Loss Expenses Paid QTD-15'!C12</f>
        <v>12776.650000000001</v>
      </c>
      <c r="G14" s="827">
        <f aca="true" t="shared" si="1" ref="G14:G20">SUM(B14:F14)</f>
        <v>149894.03</v>
      </c>
    </row>
    <row r="15" spans="1:7" s="775" customFormat="1" ht="15" customHeight="1">
      <c r="A15" s="828" t="s">
        <v>339</v>
      </c>
      <c r="B15" s="827">
        <f>'[7]Loss Expenses Paid QTD-15'!I36</f>
        <v>39106.46</v>
      </c>
      <c r="C15" s="827">
        <f>'[7]Loss Expenses Paid QTD-15'!I30</f>
        <v>97540.94</v>
      </c>
      <c r="D15" s="827">
        <f>'[7]Loss Expenses Paid QTD-15'!I24</f>
        <v>3118.27</v>
      </c>
      <c r="E15" s="827">
        <f>'[7]Loss Expenses Paid QTD-15'!I18</f>
        <v>0</v>
      </c>
      <c r="F15" s="927">
        <f>'[7]Loss Expenses Paid QTD-15'!I12</f>
        <v>1039.2</v>
      </c>
      <c r="G15" s="827">
        <f>SUM(B15:F15)-1</f>
        <v>140803.87</v>
      </c>
    </row>
    <row r="16" spans="1:7" s="775" customFormat="1" ht="15" customHeight="1">
      <c r="A16" s="828" t="s">
        <v>340</v>
      </c>
      <c r="B16" s="827">
        <f>'[7]Trial Balance'!D434</f>
        <v>7438.97</v>
      </c>
      <c r="C16" s="589">
        <v>0</v>
      </c>
      <c r="D16" s="589">
        <v>0</v>
      </c>
      <c r="E16" s="589">
        <v>0</v>
      </c>
      <c r="F16" s="589">
        <v>0</v>
      </c>
      <c r="G16" s="827">
        <f t="shared" si="1"/>
        <v>7438.97</v>
      </c>
    </row>
    <row r="17" spans="1:8" s="775" customFormat="1" ht="15" customHeight="1">
      <c r="A17" s="833" t="s">
        <v>341</v>
      </c>
      <c r="B17" s="827">
        <f>'[7]Trial Balance'!D440</f>
        <v>54735.96</v>
      </c>
      <c r="C17" s="589">
        <v>0</v>
      </c>
      <c r="D17" s="589">
        <v>0</v>
      </c>
      <c r="E17" s="589">
        <v>0</v>
      </c>
      <c r="F17" s="589">
        <v>0</v>
      </c>
      <c r="G17" s="827">
        <f t="shared" si="1"/>
        <v>54735.96</v>
      </c>
      <c r="H17" s="779"/>
    </row>
    <row r="18" spans="1:8" s="775" customFormat="1" ht="15" customHeight="1">
      <c r="A18" s="828" t="s">
        <v>343</v>
      </c>
      <c r="B18" s="827">
        <f>'[7]Trial Balance'!D436</f>
        <v>4125</v>
      </c>
      <c r="C18" s="589">
        <v>0</v>
      </c>
      <c r="D18" s="589">
        <v>0</v>
      </c>
      <c r="E18" s="589">
        <v>0</v>
      </c>
      <c r="F18" s="589">
        <v>0</v>
      </c>
      <c r="G18" s="827">
        <f t="shared" si="1"/>
        <v>4125</v>
      </c>
      <c r="H18" s="779"/>
    </row>
    <row r="19" spans="1:7" s="775" customFormat="1" ht="15" customHeight="1">
      <c r="A19" s="833" t="s">
        <v>342</v>
      </c>
      <c r="B19" s="827">
        <f>'[7]Trial Balance'!D429+1</f>
        <v>299950.15</v>
      </c>
      <c r="C19" s="927">
        <f>'[7]Trial Balance'!D425</f>
        <v>-1530.8</v>
      </c>
      <c r="D19" s="827">
        <f>'[7]Trial Balance'!D421</f>
        <v>118.19999999999999</v>
      </c>
      <c r="E19" s="827">
        <f>'[7]Trial Balance'!D418</f>
        <v>109.2</v>
      </c>
      <c r="F19" s="589">
        <f>'[7]Trial Balance'!D415</f>
        <v>0</v>
      </c>
      <c r="G19" s="827">
        <f>SUM(B19:F19)-1</f>
        <v>298645.75000000006</v>
      </c>
    </row>
    <row r="20" spans="1:8" s="775" customFormat="1" ht="15" customHeight="1">
      <c r="A20" s="828" t="s">
        <v>344</v>
      </c>
      <c r="B20" s="827">
        <f>'Earned Incurred QTD-5'!C39</f>
        <v>980760.9400000002</v>
      </c>
      <c r="C20" s="589">
        <v>0</v>
      </c>
      <c r="D20" s="589">
        <v>0</v>
      </c>
      <c r="E20" s="589">
        <v>0</v>
      </c>
      <c r="F20" s="589">
        <v>0</v>
      </c>
      <c r="G20" s="827">
        <f t="shared" si="1"/>
        <v>980760.9400000002</v>
      </c>
      <c r="H20" s="779"/>
    </row>
    <row r="21" spans="1:8" s="775" customFormat="1" ht="15" customHeight="1">
      <c r="A21" s="828" t="s">
        <v>143</v>
      </c>
      <c r="B21" s="927">
        <v>-1800</v>
      </c>
      <c r="C21" s="927">
        <f>'[7]Trial Balance'!C448</f>
        <v>-900</v>
      </c>
      <c r="D21" s="927">
        <f>'[7]Trial Balance'!C447</f>
        <v>-2655.35</v>
      </c>
      <c r="E21" s="589">
        <v>0</v>
      </c>
      <c r="F21" s="589">
        <v>0</v>
      </c>
      <c r="G21" s="927">
        <f>SUM(B21:F21)</f>
        <v>-5355.35</v>
      </c>
      <c r="H21" s="779"/>
    </row>
    <row r="22" spans="1:8" s="775" customFormat="1" ht="15" customHeight="1" thickBot="1">
      <c r="A22" s="828" t="s">
        <v>335</v>
      </c>
      <c r="B22" s="926">
        <f>SUM(B13:B21)</f>
        <v>1927125.3400000003</v>
      </c>
      <c r="C22" s="926">
        <f>SUM(C13:C21)</f>
        <v>1432403.9999999998</v>
      </c>
      <c r="D22" s="926">
        <f>SUM(D13:D21)</f>
        <v>50688.84</v>
      </c>
      <c r="E22" s="926">
        <f>SUM(E13:E21)-1</f>
        <v>8715.56</v>
      </c>
      <c r="F22" s="926">
        <f>SUM(F13:F21)</f>
        <v>26337.33</v>
      </c>
      <c r="G22" s="830">
        <f>SUM(G13:G21)+1</f>
        <v>3445271.0700000008</v>
      </c>
      <c r="H22" s="778"/>
    </row>
    <row r="23" spans="1:7" s="775" customFormat="1" ht="15" customHeight="1" thickTop="1">
      <c r="A23" s="828"/>
      <c r="B23" s="831"/>
      <c r="C23" s="831"/>
      <c r="D23" s="831"/>
      <c r="E23" s="827"/>
      <c r="F23" s="827"/>
      <c r="G23" s="827"/>
    </row>
    <row r="24" spans="1:7" s="775" customFormat="1" ht="15" customHeight="1" thickBot="1">
      <c r="A24" s="834" t="s">
        <v>345</v>
      </c>
      <c r="B24" s="928">
        <f>B10-B22</f>
        <v>1494521.1199999996</v>
      </c>
      <c r="C24" s="928">
        <f>C10-C22</f>
        <v>-1449196.9999999998</v>
      </c>
      <c r="D24" s="928">
        <f>D10-D22</f>
        <v>-49506.84</v>
      </c>
      <c r="E24" s="928">
        <f>E10-E22</f>
        <v>-7623.5599999999995</v>
      </c>
      <c r="F24" s="928">
        <f>F10-F22</f>
        <v>-26337.33</v>
      </c>
      <c r="G24" s="930">
        <f>SUM(B24:F24)</f>
        <v>-38143.61000000012</v>
      </c>
    </row>
    <row r="25" spans="1:7" s="775" customFormat="1" ht="15" customHeight="1" thickTop="1">
      <c r="A25" s="828"/>
      <c r="B25" s="831"/>
      <c r="C25" s="831"/>
      <c r="D25" s="831"/>
      <c r="E25" s="827"/>
      <c r="F25" s="827"/>
      <c r="G25" s="827"/>
    </row>
    <row r="26" spans="1:7" s="775" customFormat="1" ht="15" customHeight="1">
      <c r="A26" s="822" t="s">
        <v>346</v>
      </c>
      <c r="B26" s="824"/>
      <c r="C26" s="824"/>
      <c r="D26" s="824"/>
      <c r="E26" s="832"/>
      <c r="F26" s="832"/>
      <c r="G26" s="827"/>
    </row>
    <row r="27" spans="1:7" s="775" customFormat="1" ht="15" customHeight="1">
      <c r="A27" s="828" t="s">
        <v>347</v>
      </c>
      <c r="B27" s="827">
        <f>'Earned Incurred QTD-5'!B50</f>
        <v>42678</v>
      </c>
      <c r="C27" s="589">
        <v>0</v>
      </c>
      <c r="D27" s="589">
        <v>0</v>
      </c>
      <c r="E27" s="589">
        <v>0</v>
      </c>
      <c r="F27" s="589">
        <v>0</v>
      </c>
      <c r="G27" s="827">
        <f>SUM(B27:F27)</f>
        <v>42678</v>
      </c>
    </row>
    <row r="28" spans="1:8" s="775" customFormat="1" ht="15" customHeight="1">
      <c r="A28" s="828" t="s">
        <v>348</v>
      </c>
      <c r="B28" s="827">
        <f>'Balance Sheet-1'!D14</f>
        <v>520202.98000000004</v>
      </c>
      <c r="C28" s="589">
        <v>0</v>
      </c>
      <c r="D28" s="589">
        <v>0</v>
      </c>
      <c r="E28" s="589">
        <v>0</v>
      </c>
      <c r="F28" s="589">
        <v>0</v>
      </c>
      <c r="G28" s="827">
        <f>SUM(B28:F28)</f>
        <v>520202.98000000004</v>
      </c>
      <c r="H28" s="779"/>
    </row>
    <row r="29" spans="1:8" s="775" customFormat="1" ht="15" customHeight="1" thickBot="1">
      <c r="A29" s="828" t="s">
        <v>335</v>
      </c>
      <c r="B29" s="829">
        <f aca="true" t="shared" si="2" ref="B29:G29">SUM(B27:B28)</f>
        <v>562880.98</v>
      </c>
      <c r="C29" s="829">
        <f t="shared" si="2"/>
        <v>0</v>
      </c>
      <c r="D29" s="829">
        <f t="shared" si="2"/>
        <v>0</v>
      </c>
      <c r="E29" s="829">
        <f t="shared" si="2"/>
        <v>0</v>
      </c>
      <c r="F29" s="829">
        <f t="shared" si="2"/>
        <v>0</v>
      </c>
      <c r="G29" s="830">
        <f t="shared" si="2"/>
        <v>562880.98</v>
      </c>
      <c r="H29" s="779"/>
    </row>
    <row r="30" spans="1:7" s="775" customFormat="1" ht="15" customHeight="1" thickTop="1">
      <c r="A30" s="828"/>
      <c r="B30" s="831"/>
      <c r="C30" s="831"/>
      <c r="D30" s="831"/>
      <c r="E30" s="827"/>
      <c r="F30" s="827"/>
      <c r="G30" s="827"/>
    </row>
    <row r="31" spans="1:7" s="775" customFormat="1" ht="15" customHeight="1">
      <c r="A31" s="822" t="s">
        <v>349</v>
      </c>
      <c r="B31" s="824"/>
      <c r="C31" s="824"/>
      <c r="D31" s="824"/>
      <c r="E31" s="832"/>
      <c r="F31" s="832"/>
      <c r="G31" s="827"/>
    </row>
    <row r="32" spans="1:7" s="775" customFormat="1" ht="15" customHeight="1">
      <c r="A32" s="828" t="s">
        <v>350</v>
      </c>
      <c r="B32" s="827">
        <f>'Earned Incurred QTD-5'!B49</f>
        <v>32055.81</v>
      </c>
      <c r="C32" s="589">
        <v>0</v>
      </c>
      <c r="D32" s="589">
        <v>0</v>
      </c>
      <c r="E32" s="589">
        <v>0</v>
      </c>
      <c r="F32" s="589">
        <v>0</v>
      </c>
      <c r="G32" s="827">
        <f>SUM(B32:F32)</f>
        <v>32055.81</v>
      </c>
    </row>
    <row r="33" spans="1:9" s="775" customFormat="1" ht="15" customHeight="1">
      <c r="A33" s="828" t="s">
        <v>351</v>
      </c>
      <c r="B33" s="827">
        <v>585282</v>
      </c>
      <c r="C33" s="589">
        <v>0</v>
      </c>
      <c r="D33" s="589">
        <v>0</v>
      </c>
      <c r="E33" s="589">
        <v>0</v>
      </c>
      <c r="F33" s="589">
        <v>0</v>
      </c>
      <c r="G33" s="827">
        <f>SUM(B33:F33)</f>
        <v>585282</v>
      </c>
      <c r="H33" s="779"/>
      <c r="I33" s="779"/>
    </row>
    <row r="34" spans="1:8" s="775" customFormat="1" ht="15" customHeight="1" thickBot="1">
      <c r="A34" s="828" t="s">
        <v>335</v>
      </c>
      <c r="B34" s="829">
        <f aca="true" t="shared" si="3" ref="B34:G34">SUM(B32:B33)</f>
        <v>617337.81</v>
      </c>
      <c r="C34" s="829">
        <f t="shared" si="3"/>
        <v>0</v>
      </c>
      <c r="D34" s="829">
        <f t="shared" si="3"/>
        <v>0</v>
      </c>
      <c r="E34" s="829">
        <f t="shared" si="3"/>
        <v>0</v>
      </c>
      <c r="F34" s="829">
        <f t="shared" si="3"/>
        <v>0</v>
      </c>
      <c r="G34" s="830">
        <f t="shared" si="3"/>
        <v>617337.81</v>
      </c>
      <c r="H34" s="779"/>
    </row>
    <row r="35" spans="1:7" s="775" customFormat="1" ht="15" customHeight="1" thickTop="1">
      <c r="A35" s="828"/>
      <c r="B35" s="831"/>
      <c r="C35" s="831"/>
      <c r="D35" s="831"/>
      <c r="E35" s="827"/>
      <c r="F35" s="827"/>
      <c r="G35" s="835"/>
    </row>
    <row r="36" spans="1:7" s="775" customFormat="1" ht="15" customHeight="1" thickBot="1">
      <c r="A36" s="822" t="s">
        <v>352</v>
      </c>
      <c r="B36" s="928">
        <f>B24-B29+B34</f>
        <v>1548977.9499999997</v>
      </c>
      <c r="C36" s="928">
        <f>C24-C29+C34</f>
        <v>-1449196.9999999998</v>
      </c>
      <c r="D36" s="928">
        <f>D24-D29+D34</f>
        <v>-49506.84</v>
      </c>
      <c r="E36" s="928">
        <f>E24-E29+E34</f>
        <v>-7623.5599999999995</v>
      </c>
      <c r="F36" s="928">
        <f>F24-F29+F34</f>
        <v>-26337.33</v>
      </c>
      <c r="G36" s="930">
        <f>SUM(B36:F36)</f>
        <v>16313.219999999958</v>
      </c>
    </row>
    <row r="37" spans="1:7" s="775" customFormat="1" ht="15" customHeight="1" thickTop="1">
      <c r="A37" s="828"/>
      <c r="B37" s="831"/>
      <c r="C37" s="831"/>
      <c r="D37" s="831"/>
      <c r="E37" s="827"/>
      <c r="F37" s="827"/>
      <c r="G37" s="827"/>
    </row>
    <row r="38" spans="1:7" s="775" customFormat="1" ht="15" customHeight="1">
      <c r="A38" s="836" t="s">
        <v>147</v>
      </c>
      <c r="B38" s="837"/>
      <c r="C38" s="837"/>
      <c r="D38" s="837"/>
      <c r="E38" s="827"/>
      <c r="F38" s="827"/>
      <c r="G38" s="827"/>
    </row>
    <row r="39" spans="1:7" s="775" customFormat="1" ht="15" customHeight="1">
      <c r="A39" s="828" t="s">
        <v>310</v>
      </c>
      <c r="B39" s="827">
        <f>'Premiums QTD-7'!B18</f>
        <v>6221927.949999999</v>
      </c>
      <c r="C39" s="827">
        <f>'Premiums QTD-7'!C18</f>
        <v>399566.76</v>
      </c>
      <c r="D39" s="827">
        <f>'Premiums QTD-7'!D18</f>
        <v>0</v>
      </c>
      <c r="E39" s="827">
        <f>'Premiums QTD-7'!E18</f>
        <v>0</v>
      </c>
      <c r="F39" s="827">
        <f>'Premiums QTD-7'!F18</f>
        <v>0</v>
      </c>
      <c r="G39" s="827">
        <f>SUM(B39:F39)</f>
        <v>6621494.709999999</v>
      </c>
    </row>
    <row r="40" spans="1:7" s="775" customFormat="1" ht="15" customHeight="1">
      <c r="A40" s="828" t="s">
        <v>353</v>
      </c>
      <c r="B40" s="827">
        <f>'Losses Incurred QTD-9'!B18+'Losses Incurred QTD-9'!B24</f>
        <v>1144834.28</v>
      </c>
      <c r="C40" s="827">
        <f>'Losses Incurred QTD-9'!C18+'Losses Incurred QTD-9'!C24</f>
        <v>979082.06</v>
      </c>
      <c r="D40" s="827">
        <f>'Losses Incurred QTD-9'!D18+'Losses Incurred QTD-9'!D24</f>
        <v>93364</v>
      </c>
      <c r="E40" s="827">
        <f>'Losses Incurred QTD-9'!E18+'Losses Incurred QTD-9'!E24</f>
        <v>46000</v>
      </c>
      <c r="F40" s="827">
        <f>'Losses Incurred QTD-9'!F18+'Losses Incurred QTD-9'!F24</f>
        <v>236980.6</v>
      </c>
      <c r="G40" s="827">
        <f>SUM(B40:F40)</f>
        <v>2500260.94</v>
      </c>
    </row>
    <row r="41" spans="1:7" s="775" customFormat="1" ht="15" customHeight="1">
      <c r="A41" s="828" t="s">
        <v>354</v>
      </c>
      <c r="B41" s="827">
        <f>'Loss Expenses QTD-11'!B18</f>
        <v>144241.15000000002</v>
      </c>
      <c r="C41" s="827">
        <f>'Loss Expenses QTD-11'!C18</f>
        <v>143717.38</v>
      </c>
      <c r="D41" s="827">
        <f>'Loss Expenses QTD-11'!D18</f>
        <v>38667.63</v>
      </c>
      <c r="E41" s="827">
        <f>'Loss Expenses QTD-11'!E18</f>
        <v>16457.95</v>
      </c>
      <c r="F41" s="827">
        <f>'Loss Expenses QTD-11'!F18</f>
        <v>10962.43</v>
      </c>
      <c r="G41" s="827">
        <f>SUM(B41:F41)-1</f>
        <v>354045.54000000004</v>
      </c>
    </row>
    <row r="42" spans="1:7" s="775" customFormat="1" ht="15" customHeight="1">
      <c r="A42" s="828" t="s">
        <v>355</v>
      </c>
      <c r="B42" s="827">
        <f>'Earned Incurred QTD-5'!B41</f>
        <v>216461.9</v>
      </c>
      <c r="C42" s="589">
        <v>0</v>
      </c>
      <c r="D42" s="589">
        <v>0</v>
      </c>
      <c r="E42" s="589">
        <v>0</v>
      </c>
      <c r="F42" s="589">
        <v>0</v>
      </c>
      <c r="G42" s="827">
        <f>SUM(B42:F42)</f>
        <v>216461.9</v>
      </c>
    </row>
    <row r="43" spans="1:7" s="775" customFormat="1" ht="15" customHeight="1">
      <c r="A43" s="828" t="s">
        <v>356</v>
      </c>
      <c r="B43" s="827">
        <f>'Earned Incurred QTD-5'!B33</f>
        <v>33141.47</v>
      </c>
      <c r="C43" s="589">
        <v>0</v>
      </c>
      <c r="D43" s="589">
        <v>0</v>
      </c>
      <c r="E43" s="589">
        <v>0</v>
      </c>
      <c r="F43" s="589">
        <v>0</v>
      </c>
      <c r="G43" s="827">
        <f>SUM(B43:F43)</f>
        <v>33141.47</v>
      </c>
    </row>
    <row r="44" spans="1:7" s="775" customFormat="1" ht="15" customHeight="1" thickBot="1">
      <c r="A44" s="838" t="s">
        <v>335</v>
      </c>
      <c r="B44" s="829">
        <f>SUM(B39:B43)-1</f>
        <v>7760605.75</v>
      </c>
      <c r="C44" s="829">
        <f>SUM(C39:C43)</f>
        <v>1522366.2000000002</v>
      </c>
      <c r="D44" s="829">
        <f>SUM(D39:D43)</f>
        <v>132031.63</v>
      </c>
      <c r="E44" s="829">
        <f>SUM(E39:E43)</f>
        <v>62457.95</v>
      </c>
      <c r="F44" s="829">
        <f>SUM(F39:F43)</f>
        <v>247943.03</v>
      </c>
      <c r="G44" s="830">
        <f>SUM(G39:G43)</f>
        <v>9725404.559999999</v>
      </c>
    </row>
    <row r="45" spans="1:7" s="775" customFormat="1" ht="15" customHeight="1" thickTop="1">
      <c r="A45" s="828"/>
      <c r="B45" s="831"/>
      <c r="C45" s="831"/>
      <c r="D45" s="831"/>
      <c r="E45" s="827"/>
      <c r="F45" s="827"/>
      <c r="G45" s="827"/>
    </row>
    <row r="46" spans="1:7" s="775" customFormat="1" ht="15" customHeight="1">
      <c r="A46" s="836" t="s">
        <v>148</v>
      </c>
      <c r="B46" s="837"/>
      <c r="C46" s="837"/>
      <c r="D46" s="837"/>
      <c r="E46" s="827"/>
      <c r="F46" s="827"/>
      <c r="G46" s="827"/>
    </row>
    <row r="47" spans="1:8" s="775" customFormat="1" ht="15" customHeight="1">
      <c r="A47" s="828" t="s">
        <v>310</v>
      </c>
      <c r="B47" s="827">
        <f>'Premiums QTD-7'!B24</f>
        <v>4915996.85</v>
      </c>
      <c r="C47" s="827">
        <f>'Premiums QTD-7'!C24</f>
        <v>1720422.23</v>
      </c>
      <c r="D47" s="827">
        <f>'Premiums QTD-7'!D24</f>
        <v>0</v>
      </c>
      <c r="E47" s="827">
        <f>'Premiums QTD-7'!E24</f>
        <v>0</v>
      </c>
      <c r="F47" s="827">
        <f>'Premiums QTD-7'!F24</f>
        <v>0</v>
      </c>
      <c r="G47" s="827">
        <f aca="true" t="shared" si="4" ref="G47:G52">SUM(B47:F47)</f>
        <v>6636419.08</v>
      </c>
      <c r="H47" s="938"/>
    </row>
    <row r="48" spans="1:8" s="775" customFormat="1" ht="15" customHeight="1">
      <c r="A48" s="828" t="s">
        <v>353</v>
      </c>
      <c r="B48" s="827">
        <f>'Losses Incurred QTD-9'!B31</f>
        <v>382003.06</v>
      </c>
      <c r="C48" s="827">
        <f>'Losses Incurred QTD-9'!C31</f>
        <v>1579138.58</v>
      </c>
      <c r="D48" s="827">
        <f>'Losses Incurred QTD-9'!D31</f>
        <v>111755</v>
      </c>
      <c r="E48" s="827">
        <f>'Losses Incurred QTD-9'!E31</f>
        <v>49500</v>
      </c>
      <c r="F48" s="827">
        <f>'Losses Incurred QTD-9'!F31</f>
        <v>246980.6</v>
      </c>
      <c r="G48" s="827">
        <f t="shared" si="4"/>
        <v>2369377.24</v>
      </c>
      <c r="H48" s="779"/>
    </row>
    <row r="49" spans="1:8" s="775" customFormat="1" ht="15" customHeight="1">
      <c r="A49" s="828" t="s">
        <v>357</v>
      </c>
      <c r="B49" s="827">
        <f>'Loss Expenses QTD-11'!B24</f>
        <v>79698.45000000001</v>
      </c>
      <c r="C49" s="827">
        <f>'Loss Expenses QTD-11'!C24</f>
        <v>179289.97999999998</v>
      </c>
      <c r="D49" s="827">
        <f>'Loss Expenses QTD-11'!D24</f>
        <v>46441.78</v>
      </c>
      <c r="E49" s="827">
        <f>'Loss Expenses QTD-11'!E24</f>
        <v>18590.85</v>
      </c>
      <c r="F49" s="827">
        <f>'Loss Expenses QTD-11'!F24</f>
        <v>13229.48</v>
      </c>
      <c r="G49" s="827">
        <f>SUM(B49:F49)-1</f>
        <v>337249.5399999999</v>
      </c>
      <c r="H49" s="779"/>
    </row>
    <row r="50" spans="1:7" s="775" customFormat="1" ht="15" customHeight="1">
      <c r="A50" s="828" t="s">
        <v>355</v>
      </c>
      <c r="B50" s="827">
        <f>'Earned Incurred QTD-5'!B42</f>
        <v>178227</v>
      </c>
      <c r="C50" s="589">
        <v>0</v>
      </c>
      <c r="D50" s="589">
        <v>0</v>
      </c>
      <c r="E50" s="589">
        <v>0</v>
      </c>
      <c r="F50" s="589">
        <v>0</v>
      </c>
      <c r="G50" s="827">
        <f t="shared" si="4"/>
        <v>178227</v>
      </c>
    </row>
    <row r="51" spans="1:7" s="775" customFormat="1" ht="15" customHeight="1">
      <c r="A51" s="828" t="s">
        <v>356</v>
      </c>
      <c r="B51" s="827">
        <f>'Earned Incurred QTD-5'!B34</f>
        <v>17092</v>
      </c>
      <c r="C51" s="589">
        <v>0</v>
      </c>
      <c r="D51" s="589">
        <v>0</v>
      </c>
      <c r="E51" s="589">
        <v>0</v>
      </c>
      <c r="F51" s="589">
        <v>0</v>
      </c>
      <c r="G51" s="827">
        <f t="shared" si="4"/>
        <v>17092</v>
      </c>
    </row>
    <row r="52" spans="1:7" s="775" customFormat="1" ht="15" customHeight="1" thickBot="1">
      <c r="A52" s="828" t="s">
        <v>335</v>
      </c>
      <c r="B52" s="829">
        <f>SUM(B47:B51)</f>
        <v>5573017.359999999</v>
      </c>
      <c r="C52" s="829">
        <f>SUM(C47:C51)</f>
        <v>3478850.79</v>
      </c>
      <c r="D52" s="829">
        <f>SUM(D47:D51)</f>
        <v>158196.78</v>
      </c>
      <c r="E52" s="829">
        <f>SUM(E47:E51)</f>
        <v>68090.85</v>
      </c>
      <c r="F52" s="829">
        <f>SUM(F47:F51)</f>
        <v>260210.08000000002</v>
      </c>
      <c r="G52" s="830">
        <f t="shared" si="4"/>
        <v>9538365.859999998</v>
      </c>
    </row>
    <row r="53" spans="1:7" s="775" customFormat="1" ht="15" customHeight="1" thickTop="1">
      <c r="A53" s="828"/>
      <c r="B53" s="831"/>
      <c r="C53" s="831"/>
      <c r="D53" s="831"/>
      <c r="E53" s="831"/>
      <c r="F53" s="831"/>
      <c r="G53" s="485"/>
    </row>
    <row r="54" spans="1:8" s="775" customFormat="1" ht="15" customHeight="1" thickBot="1">
      <c r="A54" s="834" t="s">
        <v>358</v>
      </c>
      <c r="B54" s="929">
        <f>B36-B44+B52-1</f>
        <v>-638611.4400000013</v>
      </c>
      <c r="C54" s="929">
        <f>C36-C44+C52</f>
        <v>507287.58999999985</v>
      </c>
      <c r="D54" s="929">
        <f>D36-D44+D52</f>
        <v>-23341.690000000002</v>
      </c>
      <c r="E54" s="929">
        <f>E36-E44+E52</f>
        <v>-1990.659999999989</v>
      </c>
      <c r="F54" s="929">
        <f>F36-F44+F52</f>
        <v>-14070.27999999997</v>
      </c>
      <c r="G54" s="929">
        <f>G36-G44+G52+1</f>
        <v>-170724.48000000045</v>
      </c>
      <c r="H54" s="779"/>
    </row>
    <row r="55" spans="1:8" s="775" customFormat="1" ht="15" customHeight="1" thickTop="1">
      <c r="A55" s="778"/>
      <c r="B55" s="779"/>
      <c r="C55" s="779"/>
      <c r="D55" s="801"/>
      <c r="E55" s="801"/>
      <c r="F55" s="801"/>
      <c r="G55" s="774"/>
      <c r="H55" s="779"/>
    </row>
    <row r="56" spans="1:9" s="775" customFormat="1" ht="15" customHeight="1">
      <c r="A56" s="778"/>
      <c r="B56" s="779"/>
      <c r="C56" s="779"/>
      <c r="D56" s="801"/>
      <c r="E56" s="801"/>
      <c r="F56" s="801"/>
      <c r="G56" s="774"/>
      <c r="H56" s="779"/>
      <c r="I56" s="779"/>
    </row>
    <row r="57" spans="1:7" s="775" customFormat="1" ht="15" customHeight="1">
      <c r="A57" s="778"/>
      <c r="B57" s="779"/>
      <c r="C57" s="779"/>
      <c r="D57" s="801"/>
      <c r="E57" s="801"/>
      <c r="F57" s="801"/>
      <c r="G57" s="801"/>
    </row>
    <row r="58" spans="2:7" s="775" customFormat="1" ht="15" customHeight="1">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1:7" s="775" customFormat="1" ht="15" customHeight="1">
      <c r="A61" s="777"/>
      <c r="B61" s="802"/>
      <c r="C61" s="802"/>
      <c r="D61" s="801"/>
      <c r="E61" s="801"/>
      <c r="F61" s="801"/>
      <c r="G61" s="801"/>
    </row>
    <row r="62" spans="2:7" s="775" customFormat="1" ht="15" customHeight="1">
      <c r="B62" s="779"/>
      <c r="C62" s="779"/>
      <c r="D62" s="801"/>
      <c r="E62" s="801"/>
      <c r="F62" s="801"/>
      <c r="G62" s="774"/>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aabrams</cp:lastModifiedBy>
  <cp:lastPrinted>2009-10-29T13:12:39Z</cp:lastPrinted>
  <dcterms:created xsi:type="dcterms:W3CDTF">1999-07-28T13:02:54Z</dcterms:created>
  <dcterms:modified xsi:type="dcterms:W3CDTF">2009-11-05T15:02:16Z</dcterms:modified>
  <cp:category/>
  <cp:version/>
  <cp:contentType/>
  <cp:contentStatus/>
</cp:coreProperties>
</file>